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201_{BA5A4280-D851-41F0-BA6A-9889E8ECA9D8}" xr6:coauthVersionLast="47" xr6:coauthVersionMax="47" xr10:uidLastSave="{00000000-0000-0000-0000-000000000000}"/>
  <bookViews>
    <workbookView xWindow="-120" yWindow="-120" windowWidth="29040" windowHeight="15840" tabRatio="919" firstSheet="15"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[4]Sheet2!$H$5:$H$31</definedName>
    <definedName name="საკრედიტო" localSheetId="28">[3]Sheet2!$B$6:$B$8</definedName>
    <definedName name="საკრედიტო">[4]Sheet2!$B$6:$B$8</definedName>
    <definedName name="ფაილი" localSheetId="28">[3]Sheet2!$B$2:$B$3</definedName>
    <definedName name="ფაილი">[4]Sheet2!$B$2:$B$3</definedName>
    <definedName name="ცვლილება_კორექტირება_რეგულაციაში" localSheetId="28">[3]Sheet2!$K$5:$K$9</definedName>
    <definedName name="ცვლილება_კორექტირება_რეგულაციაში">[4]Sheet2!$K$5:$K$9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8" i="84" l="1"/>
  <c r="G48" i="84"/>
  <c r="F48" i="84"/>
  <c r="D48" i="84"/>
  <c r="C48" i="84"/>
  <c r="B2" i="98"/>
  <c r="B2" i="97"/>
  <c r="B2" i="95"/>
  <c r="B2" i="92"/>
  <c r="B2" i="93"/>
  <c r="C2" i="91"/>
  <c r="B2" i="64"/>
  <c r="B2" i="90"/>
  <c r="B2" i="69"/>
  <c r="B2" i="94"/>
  <c r="B2" i="89"/>
  <c r="B2" i="73"/>
  <c r="B2" i="88"/>
  <c r="B2" i="52"/>
  <c r="B2" i="86"/>
  <c r="B2" i="75"/>
  <c r="C2" i="85"/>
  <c r="B2" i="83"/>
  <c r="C37" i="69" l="1"/>
  <c r="D12" i="101" l="1"/>
  <c r="D7" i="101"/>
  <c r="C7" i="101"/>
  <c r="C33" i="97"/>
  <c r="D33" i="97"/>
  <c r="F33" i="97"/>
  <c r="D24" i="97"/>
  <c r="C18" i="97"/>
  <c r="F18" i="97"/>
  <c r="F14" i="97"/>
  <c r="E14" i="97"/>
  <c r="G11" i="97"/>
  <c r="E11" i="97"/>
  <c r="G8" i="97"/>
  <c r="E8" i="97"/>
  <c r="D8" i="97"/>
  <c r="C8" i="97"/>
  <c r="C8" i="95"/>
  <c r="E19" i="92"/>
  <c r="E18" i="92"/>
  <c r="N17" i="92"/>
  <c r="E17" i="92"/>
  <c r="J14" i="92"/>
  <c r="E16" i="92"/>
  <c r="L14" i="92"/>
  <c r="K14" i="92"/>
  <c r="E15" i="92"/>
  <c r="G14" i="92"/>
  <c r="E12" i="92"/>
  <c r="E11" i="92"/>
  <c r="E10" i="92"/>
  <c r="J7" i="92"/>
  <c r="F7" i="92"/>
  <c r="E9" i="92"/>
  <c r="K7" i="92"/>
  <c r="G7" i="92"/>
  <c r="E8" i="92"/>
  <c r="R22" i="90"/>
  <c r="F22" i="90"/>
  <c r="J21" i="92" l="1"/>
  <c r="G21" i="92"/>
  <c r="K21" i="92"/>
  <c r="N22" i="90"/>
  <c r="N13" i="92"/>
  <c r="E18" i="97"/>
  <c r="S15" i="90"/>
  <c r="S17" i="90"/>
  <c r="S20" i="90"/>
  <c r="G21" i="64"/>
  <c r="S21" i="64"/>
  <c r="V11" i="64"/>
  <c r="H14" i="92"/>
  <c r="C26" i="95"/>
  <c r="H9" i="98"/>
  <c r="N18" i="92"/>
  <c r="F24" i="97"/>
  <c r="E24" i="97"/>
  <c r="S21" i="90"/>
  <c r="H12" i="98"/>
  <c r="D22" i="91"/>
  <c r="N11" i="92"/>
  <c r="C18" i="95"/>
  <c r="K21" i="64"/>
  <c r="C14" i="97"/>
  <c r="G18" i="97"/>
  <c r="V15" i="64"/>
  <c r="J22" i="90"/>
  <c r="F14" i="92"/>
  <c r="F21" i="92" s="1"/>
  <c r="D14" i="97"/>
  <c r="S18" i="90"/>
  <c r="H7" i="92"/>
  <c r="S16" i="90"/>
  <c r="S19" i="90"/>
  <c r="V7" i="64"/>
  <c r="O21" i="64"/>
  <c r="V19" i="64"/>
  <c r="L7" i="92"/>
  <c r="L21" i="92" s="1"/>
  <c r="N10" i="92"/>
  <c r="C11" i="97"/>
  <c r="H20" i="98"/>
  <c r="C10" i="102"/>
  <c r="C19" i="102" s="1"/>
  <c r="D11" i="97"/>
  <c r="G14" i="97"/>
  <c r="L22" i="90"/>
  <c r="E22" i="90"/>
  <c r="I22" i="90"/>
  <c r="M22" i="90"/>
  <c r="Q22" i="90"/>
  <c r="H21" i="64"/>
  <c r="L21" i="64"/>
  <c r="P21" i="64"/>
  <c r="T21" i="64"/>
  <c r="V10" i="64"/>
  <c r="V14" i="64"/>
  <c r="V18" i="64"/>
  <c r="I7" i="92"/>
  <c r="M7" i="92"/>
  <c r="N12" i="92"/>
  <c r="I14" i="92"/>
  <c r="M14" i="92"/>
  <c r="N19" i="92"/>
  <c r="D18" i="97"/>
  <c r="G33" i="97"/>
  <c r="I10" i="99"/>
  <c r="I11" i="99"/>
  <c r="I18" i="99"/>
  <c r="I19" i="99"/>
  <c r="D22" i="90"/>
  <c r="P22" i="90"/>
  <c r="E21" i="64"/>
  <c r="I21" i="64"/>
  <c r="M21" i="64"/>
  <c r="Q21" i="64"/>
  <c r="V9" i="64"/>
  <c r="V17" i="64"/>
  <c r="C22" i="91"/>
  <c r="N8" i="92"/>
  <c r="N15" i="92"/>
  <c r="N20" i="92"/>
  <c r="C38" i="95"/>
  <c r="C30" i="95"/>
  <c r="F8" i="97"/>
  <c r="H10" i="98"/>
  <c r="H11" i="98"/>
  <c r="H19" i="98"/>
  <c r="I9" i="99"/>
  <c r="H22" i="90"/>
  <c r="C22" i="90"/>
  <c r="G22" i="90"/>
  <c r="K22" i="90"/>
  <c r="O22" i="90"/>
  <c r="S9" i="90"/>
  <c r="S10" i="90"/>
  <c r="S11" i="90"/>
  <c r="S12" i="90"/>
  <c r="S13" i="90"/>
  <c r="S14" i="90"/>
  <c r="F21" i="64"/>
  <c r="J21" i="64"/>
  <c r="N21" i="64"/>
  <c r="R21" i="64"/>
  <c r="V8" i="64"/>
  <c r="V12" i="64"/>
  <c r="V16" i="64"/>
  <c r="V20" i="64"/>
  <c r="N9" i="92"/>
  <c r="N16" i="92"/>
  <c r="F11" i="97"/>
  <c r="C24" i="97"/>
  <c r="G24" i="97"/>
  <c r="E33" i="97"/>
  <c r="I8" i="99"/>
  <c r="D19" i="101"/>
  <c r="C12" i="101"/>
  <c r="C19" i="101" s="1"/>
  <c r="E7" i="92"/>
  <c r="E14" i="92"/>
  <c r="C14" i="92"/>
  <c r="C7" i="92"/>
  <c r="C21" i="64"/>
  <c r="S8" i="90"/>
  <c r="G37" i="97" l="1"/>
  <c r="S22" i="90"/>
  <c r="M21" i="92"/>
  <c r="G21" i="97"/>
  <c r="H21" i="92"/>
  <c r="C45" i="69"/>
  <c r="C21" i="92"/>
  <c r="N14" i="92"/>
  <c r="C25" i="69"/>
  <c r="E21" i="92"/>
  <c r="N7" i="92"/>
  <c r="I21" i="92"/>
  <c r="C35" i="89"/>
  <c r="D6" i="86"/>
  <c r="D13" i="86" s="1"/>
  <c r="E53" i="75"/>
  <c r="E49" i="75"/>
  <c r="E46" i="75"/>
  <c r="E40" i="75"/>
  <c r="E39" i="75"/>
  <c r="E38" i="75"/>
  <c r="E37" i="75"/>
  <c r="E35" i="75"/>
  <c r="E33" i="75"/>
  <c r="E30" i="75"/>
  <c r="E29" i="75"/>
  <c r="E26" i="75"/>
  <c r="E25" i="75"/>
  <c r="E23" i="75"/>
  <c r="E22" i="75"/>
  <c r="E21" i="75"/>
  <c r="E18" i="75"/>
  <c r="E17" i="75"/>
  <c r="E15" i="75"/>
  <c r="E12" i="75"/>
  <c r="E11" i="75"/>
  <c r="H66" i="85"/>
  <c r="H64" i="85"/>
  <c r="E64" i="85"/>
  <c r="E60" i="85"/>
  <c r="E59" i="85"/>
  <c r="E51" i="85"/>
  <c r="E50" i="85"/>
  <c r="E44" i="85"/>
  <c r="E42" i="85"/>
  <c r="E41" i="85"/>
  <c r="E40" i="85"/>
  <c r="E38" i="85"/>
  <c r="E29" i="85"/>
  <c r="E27" i="85"/>
  <c r="E26" i="85"/>
  <c r="E25" i="85"/>
  <c r="D30" i="85"/>
  <c r="E21" i="85"/>
  <c r="E20" i="85"/>
  <c r="E17" i="85"/>
  <c r="E16" i="85"/>
  <c r="E15" i="85"/>
  <c r="E14" i="85"/>
  <c r="E13" i="85"/>
  <c r="E12" i="85"/>
  <c r="E11" i="85"/>
  <c r="D9" i="85"/>
  <c r="E39" i="83"/>
  <c r="E38" i="83"/>
  <c r="E35" i="83"/>
  <c r="E34" i="83"/>
  <c r="E30" i="83"/>
  <c r="E28" i="83"/>
  <c r="E26" i="83"/>
  <c r="E25" i="83"/>
  <c r="E24" i="83"/>
  <c r="E22" i="83"/>
  <c r="E19" i="83"/>
  <c r="E18" i="83"/>
  <c r="E17" i="83"/>
  <c r="E15" i="83"/>
  <c r="E13" i="83"/>
  <c r="D14" i="83"/>
  <c r="E11" i="83"/>
  <c r="E7" i="83"/>
  <c r="G5" i="84"/>
  <c r="F5" i="84"/>
  <c r="E5" i="84"/>
  <c r="D5" i="84"/>
  <c r="C5" i="84"/>
  <c r="G39" i="97" l="1"/>
  <c r="D22" i="85"/>
  <c r="D31" i="85" s="1"/>
  <c r="E14" i="75"/>
  <c r="E45" i="75"/>
  <c r="E48" i="75"/>
  <c r="E31" i="75"/>
  <c r="E51" i="75"/>
  <c r="E9" i="83"/>
  <c r="E10" i="85"/>
  <c r="E28" i="85"/>
  <c r="E66" i="85"/>
  <c r="C53" i="85"/>
  <c r="C61" i="85"/>
  <c r="E61" i="85" s="1"/>
  <c r="C43" i="89"/>
  <c r="E16" i="83"/>
  <c r="E29" i="83"/>
  <c r="C30" i="85"/>
  <c r="E30" i="85" s="1"/>
  <c r="E32" i="75"/>
  <c r="E52" i="75"/>
  <c r="D34" i="85"/>
  <c r="D45" i="85" s="1"/>
  <c r="E41" i="75"/>
  <c r="D21" i="88"/>
  <c r="E18" i="85"/>
  <c r="E36" i="85"/>
  <c r="E49" i="85"/>
  <c r="E13" i="75"/>
  <c r="E27" i="75"/>
  <c r="E47" i="75"/>
  <c r="C31" i="89"/>
  <c r="C30" i="89" s="1"/>
  <c r="C41" i="89" s="1"/>
  <c r="E33" i="83"/>
  <c r="E37" i="83"/>
  <c r="E19" i="85"/>
  <c r="E37" i="85"/>
  <c r="E19" i="75"/>
  <c r="E36" i="75"/>
  <c r="E27" i="83"/>
  <c r="E36" i="83"/>
  <c r="E39" i="85"/>
  <c r="D53" i="85"/>
  <c r="E48" i="85"/>
  <c r="E12" i="83"/>
  <c r="E24" i="85"/>
  <c r="E47" i="85"/>
  <c r="C6" i="86"/>
  <c r="C13" i="86" s="1"/>
  <c r="G6" i="86"/>
  <c r="G13" i="86" s="1"/>
  <c r="E6" i="86"/>
  <c r="E13" i="86" s="1"/>
  <c r="E21" i="88"/>
  <c r="D20" i="83"/>
  <c r="D31" i="83"/>
  <c r="D41" i="83" s="1"/>
  <c r="E23" i="83"/>
  <c r="E40" i="83"/>
  <c r="E35" i="85"/>
  <c r="E43" i="85"/>
  <c r="E52" i="85"/>
  <c r="E16" i="75"/>
  <c r="E20" i="75"/>
  <c r="E24" i="75"/>
  <c r="E28" i="75"/>
  <c r="E34" i="75"/>
  <c r="E50" i="75"/>
  <c r="F6" i="86"/>
  <c r="F13" i="86" s="1"/>
  <c r="C21" i="88"/>
  <c r="C6" i="89"/>
  <c r="C12" i="89"/>
  <c r="C47" i="89"/>
  <c r="C52" i="89" s="1"/>
  <c r="N21" i="92"/>
  <c r="E8" i="85"/>
  <c r="C9" i="85"/>
  <c r="E9" i="85" s="1"/>
  <c r="C34" i="85"/>
  <c r="E58" i="85"/>
  <c r="C31" i="83"/>
  <c r="C14" i="83"/>
  <c r="E14" i="83" s="1"/>
  <c r="E8" i="83"/>
  <c r="D54" i="85" l="1"/>
  <c r="D56" i="85" s="1"/>
  <c r="D63" i="85" s="1"/>
  <c r="D65" i="85" s="1"/>
  <c r="D67" i="85" s="1"/>
  <c r="E53" i="85"/>
  <c r="C28" i="89"/>
  <c r="C20" i="83"/>
  <c r="E20" i="83" s="1"/>
  <c r="C45" i="85"/>
  <c r="E34" i="85"/>
  <c r="C22" i="85"/>
  <c r="C41" i="83"/>
  <c r="E41" i="83" s="1"/>
  <c r="E31" i="83"/>
  <c r="E45" i="85" l="1"/>
  <c r="C54" i="85"/>
  <c r="E54" i="85" s="1"/>
  <c r="E22" i="85"/>
  <c r="C31" i="85"/>
  <c r="C56" i="85" l="1"/>
  <c r="E31" i="85"/>
  <c r="E56" i="85" l="1"/>
  <c r="C63" i="85"/>
  <c r="C65" i="85" l="1"/>
  <c r="E63" i="85"/>
  <c r="E65" i="85" l="1"/>
  <c r="C67" i="85"/>
  <c r="E67" i="85" s="1"/>
  <c r="B2" i="106" l="1"/>
  <c r="B2" i="105"/>
  <c r="B2" i="104"/>
  <c r="B2" i="103"/>
  <c r="B2" i="102"/>
  <c r="B2" i="101"/>
  <c r="B2" i="100"/>
  <c r="B2" i="99"/>
  <c r="B1" i="97" l="1"/>
  <c r="B1" i="95" l="1"/>
  <c r="B1" i="92"/>
  <c r="B1" i="93"/>
  <c r="C1" i="91"/>
  <c r="B1" i="64"/>
  <c r="B1" i="90"/>
  <c r="B1" i="69"/>
  <c r="B1" i="94"/>
  <c r="B1" i="89"/>
  <c r="B1" i="73"/>
  <c r="B1" i="88"/>
  <c r="B1" i="52"/>
  <c r="B1" i="86"/>
  <c r="B1" i="75"/>
  <c r="C1" i="85"/>
  <c r="G5" i="86"/>
  <c r="F5" i="86"/>
  <c r="E5" i="86"/>
  <c r="D5" i="86"/>
  <c r="C5" i="86"/>
  <c r="B1" i="91" l="1"/>
  <c r="B1" i="85"/>
  <c r="B1" i="83"/>
  <c r="B1" i="84"/>
  <c r="H13" i="83" l="1"/>
  <c r="G14" i="83"/>
  <c r="H11" i="83"/>
  <c r="H10" i="83"/>
  <c r="H9" i="83"/>
  <c r="H19" i="83"/>
  <c r="H18" i="83"/>
  <c r="H17" i="83"/>
  <c r="H16" i="83"/>
  <c r="H29" i="83"/>
  <c r="H28" i="83"/>
  <c r="H27" i="83"/>
  <c r="H40" i="83"/>
  <c r="H39" i="83"/>
  <c r="H38" i="83"/>
  <c r="H37" i="83"/>
  <c r="H36" i="83"/>
  <c r="H35" i="83"/>
  <c r="H34" i="83"/>
  <c r="H33" i="83"/>
  <c r="H15" i="83" l="1"/>
  <c r="H30" i="83"/>
  <c r="G31" i="83"/>
  <c r="G41" i="83" s="1"/>
  <c r="H7" i="83"/>
  <c r="G20" i="83"/>
  <c r="H22" i="83"/>
  <c r="H24" i="83"/>
  <c r="H26" i="83"/>
  <c r="H8" i="83"/>
  <c r="F14" i="83"/>
  <c r="H14" i="83" s="1"/>
  <c r="H12" i="83"/>
  <c r="F31" i="83"/>
  <c r="H23" i="83"/>
  <c r="H25" i="83"/>
  <c r="F20" i="83" l="1"/>
  <c r="H20" i="83" s="1"/>
  <c r="F41" i="83"/>
  <c r="H41" i="83" s="1"/>
  <c r="H31" i="83"/>
  <c r="H60" i="85" l="1"/>
  <c r="H59" i="85"/>
  <c r="H51" i="85"/>
  <c r="H44" i="85"/>
  <c r="H38" i="85"/>
  <c r="G34" i="85"/>
  <c r="H29" i="85"/>
  <c r="H25" i="85"/>
  <c r="H21" i="85"/>
  <c r="H17" i="85"/>
  <c r="H15" i="85"/>
  <c r="H11" i="85"/>
  <c r="G30" i="85" l="1"/>
  <c r="G45" i="85"/>
  <c r="H49" i="85"/>
  <c r="H40" i="85"/>
  <c r="G9" i="85"/>
  <c r="G22" i="85" s="1"/>
  <c r="G31" i="85" s="1"/>
  <c r="H36" i="85"/>
  <c r="H42" i="85"/>
  <c r="H13" i="85"/>
  <c r="H19" i="85"/>
  <c r="H27" i="85"/>
  <c r="H48" i="85"/>
  <c r="H50" i="85"/>
  <c r="H52" i="85"/>
  <c r="H8" i="85"/>
  <c r="H10" i="85"/>
  <c r="F9" i="85"/>
  <c r="H12" i="85"/>
  <c r="H14" i="85"/>
  <c r="H16" i="85"/>
  <c r="H18" i="85"/>
  <c r="H20" i="85"/>
  <c r="F30" i="85"/>
  <c r="H30" i="85" s="1"/>
  <c r="H24" i="85"/>
  <c r="H26" i="85"/>
  <c r="H28" i="85"/>
  <c r="H35" i="85"/>
  <c r="F34" i="85"/>
  <c r="H37" i="85"/>
  <c r="H39" i="85"/>
  <c r="H41" i="85"/>
  <c r="H43" i="85"/>
  <c r="F53" i="85"/>
  <c r="H58" i="85"/>
  <c r="F61" i="85"/>
  <c r="H61" i="85" s="1"/>
  <c r="H47" i="85"/>
  <c r="G53" i="85"/>
  <c r="G54" i="85" s="1"/>
  <c r="H9" i="85" l="1"/>
  <c r="G56" i="85"/>
  <c r="G63" i="85" s="1"/>
  <c r="G65" i="85" s="1"/>
  <c r="G67" i="85" s="1"/>
  <c r="F45" i="85"/>
  <c r="H34" i="85"/>
  <c r="F22" i="85"/>
  <c r="H53" i="85"/>
  <c r="F31" i="85" l="1"/>
  <c r="H22" i="85"/>
  <c r="F54" i="85"/>
  <c r="H54" i="85" s="1"/>
  <c r="H45" i="85"/>
  <c r="F56" i="85" l="1"/>
  <c r="H31" i="85"/>
  <c r="H56" i="85" l="1"/>
  <c r="F63" i="85"/>
  <c r="H63" i="85" l="1"/>
  <c r="F65" i="85"/>
  <c r="H65" i="85" l="1"/>
  <c r="F67" i="85"/>
  <c r="H67" i="85" s="1"/>
  <c r="U21" i="64" l="1"/>
  <c r="E22" i="91" l="1"/>
  <c r="H8" i="91" l="1"/>
  <c r="H21" i="91"/>
  <c r="H16" i="91"/>
  <c r="H15" i="91"/>
  <c r="H14" i="91"/>
  <c r="F22" i="91"/>
  <c r="H18" i="91"/>
  <c r="H17" i="91"/>
  <c r="H13" i="91"/>
  <c r="G22" i="91" l="1"/>
  <c r="H22" i="91" s="1"/>
  <c r="E10" i="75" l="1"/>
  <c r="E9" i="75" l="1"/>
  <c r="H13" i="98"/>
  <c r="H8" i="98"/>
  <c r="I23" i="99"/>
  <c r="C22" i="98" l="1"/>
  <c r="H21" i="98"/>
  <c r="I7" i="99"/>
  <c r="I20" i="99"/>
  <c r="E8" i="75" l="1"/>
  <c r="I12" i="99" l="1"/>
  <c r="E7" i="75" l="1"/>
  <c r="V13" i="64" l="1"/>
  <c r="V21" i="64" s="1"/>
  <c r="D21" i="64"/>
  <c r="H17" i="98" l="1"/>
  <c r="G22" i="98" l="1"/>
  <c r="F22" i="98" l="1"/>
  <c r="H14" i="98"/>
  <c r="H16" i="98"/>
  <c r="H15" i="98"/>
  <c r="H18" i="98"/>
  <c r="D22" i="98"/>
  <c r="E22" i="98" l="1"/>
  <c r="H22" i="98"/>
  <c r="C21" i="99" l="1"/>
  <c r="I15" i="99" l="1"/>
  <c r="I13" i="99"/>
  <c r="D21" i="99"/>
  <c r="E21" i="99"/>
  <c r="F21" i="99"/>
  <c r="I17" i="99"/>
  <c r="I14" i="99"/>
  <c r="I21" i="99" l="1"/>
  <c r="C8" i="73" l="1"/>
  <c r="H9" i="75" l="1"/>
  <c r="H53" i="75"/>
  <c r="H52" i="75"/>
  <c r="H51" i="75"/>
  <c r="H50" i="75"/>
  <c r="H49" i="75"/>
  <c r="H47" i="75"/>
  <c r="H46" i="75"/>
  <c r="H45" i="75"/>
  <c r="H44" i="75"/>
  <c r="H43" i="75"/>
  <c r="H42" i="75"/>
  <c r="H41" i="75"/>
  <c r="H40" i="75"/>
  <c r="H39" i="75"/>
  <c r="H38" i="75"/>
  <c r="H37" i="75"/>
  <c r="H36" i="75"/>
  <c r="H35" i="75"/>
  <c r="H34" i="75"/>
  <c r="H33" i="75"/>
  <c r="H32" i="75"/>
  <c r="H31" i="75"/>
  <c r="H30" i="75"/>
  <c r="H29" i="75"/>
  <c r="H28" i="75"/>
  <c r="H27" i="75"/>
  <c r="H26" i="75"/>
  <c r="H25" i="75"/>
  <c r="H24" i="75"/>
  <c r="H23" i="75"/>
  <c r="H22" i="75"/>
  <c r="H21" i="75"/>
  <c r="H20" i="75"/>
  <c r="H19" i="75"/>
  <c r="H18" i="75"/>
  <c r="H17" i="75"/>
  <c r="H16" i="75"/>
  <c r="H15" i="75"/>
  <c r="H14" i="75"/>
  <c r="H13" i="75"/>
  <c r="H12" i="75"/>
  <c r="H11" i="75"/>
  <c r="H10" i="75"/>
  <c r="H7" i="75"/>
  <c r="H48" i="75" l="1"/>
  <c r="H8" i="75" l="1"/>
  <c r="I16" i="99" l="1"/>
  <c r="E42" i="75" l="1"/>
  <c r="E44" i="75" l="1"/>
  <c r="C13" i="73" l="1"/>
  <c r="E43" i="75" l="1"/>
  <c r="I22" i="99" l="1"/>
  <c r="H21" i="99" l="1"/>
</calcChain>
</file>

<file path=xl/sharedStrings.xml><?xml version="1.0" encoding="utf-8"?>
<sst xmlns="http://schemas.openxmlformats.org/spreadsheetml/2006/main" count="1171" uniqueCount="772">
  <si>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</si>
  <si>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</si>
  <si>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</si>
  <si>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</si>
  <si>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</si>
  <si>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</si>
  <si>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</si>
  <si>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</si>
  <si>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</si>
  <si>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</si>
  <si>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</si>
  <si>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</si>
  <si>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</si>
  <si>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</si>
  <si>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</si>
  <si>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</si>
  <si>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</si>
  <si>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</si>
  <si>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</si>
  <si>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</si>
  <si>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</si>
  <si>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</si>
  <si>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</si>
  <si>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</si>
  <si>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</si>
  <si>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</si>
  <si>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</si>
  <si>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</si>
  <si>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</si>
  <si>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</si>
  <si>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</si>
  <si>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</si>
  <si>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</si>
  <si>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</si>
  <si>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</si>
  <si>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</si>
  <si>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</si>
  <si>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</si>
  <si>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</si>
  <si>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</si>
  <si>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</si>
  <si>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</si>
  <si>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</si>
  <si>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</si>
  <si>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</si>
  <si>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</si>
  <si>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</si>
  <si>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</si>
  <si>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</si>
  <si>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</si>
  <si>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</si>
  <si>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</si>
  <si>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</si>
  <si>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</si>
  <si>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</si>
  <si>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</si>
  <si>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</si>
  <si>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</si>
  <si>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</si>
  <si>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</si>
  <si>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</si>
  <si>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</si>
  <si>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</si>
  <si>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</si>
  <si>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</si>
  <si>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</si>
  <si>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</si>
  <si>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</si>
  <si>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</si>
  <si>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</si>
  <si>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</si>
  <si>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</si>
  <si>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</si>
  <si>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</si>
  <si>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</si>
  <si>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</si>
  <si>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</si>
  <si>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</si>
  <si>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</si>
  <si>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</si>
  <si>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</si>
  <si>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</si>
  <si>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</si>
  <si>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</si>
  <si>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</si>
  <si>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</si>
  <si>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</si>
  <si>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</si>
  <si>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</si>
  <si>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</si>
  <si>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</si>
  <si>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</si>
  <si>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</si>
  <si>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</si>
  <si>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</si>
  <si>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</si>
  <si>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</si>
  <si>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</si>
  <si>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</si>
  <si>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</si>
  <si>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</si>
  <si>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</si>
  <si>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</si>
  <si>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</si>
  <si>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</si>
  <si>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</si>
  <si>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</si>
  <si>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</si>
  <si>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</si>
  <si>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</si>
  <si>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</si>
  <si>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</si>
  <si>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</si>
  <si>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</si>
  <si>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</si>
  <si>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</si>
  <si>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</si>
  <si>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</si>
  <si>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</si>
  <si>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</si>
  <si>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</si>
  <si>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</si>
  <si>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</si>
  <si>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</si>
  <si>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</si>
  <si>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</si>
  <si>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</si>
  <si>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</si>
  <si>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</si>
  <si>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</si>
  <si>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</si>
  <si>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</si>
  <si>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</si>
  <si>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</si>
  <si>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</si>
  <si>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</si>
  <si>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</si>
  <si>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</si>
  <si>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</si>
  <si>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</si>
  <si>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</si>
  <si>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</si>
  <si>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</si>
  <si>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</si>
  <si>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</si>
  <si>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</si>
  <si>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</si>
  <si>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</si>
  <si>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</si>
  <si>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</si>
  <si>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</si>
  <si>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</si>
  <si>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</si>
  <si>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</si>
  <si>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</si>
  <si>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</si>
  <si>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</si>
  <si>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</si>
  <si>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</si>
  <si>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</si>
  <si>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</si>
  <si>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</si>
  <si>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</si>
  <si>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</si>
  <si>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</si>
  <si>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</si>
  <si>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</si>
  <si>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</si>
  <si>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</si>
  <si>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</si>
  <si>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</si>
  <si>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</si>
  <si>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</si>
  <si>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</si>
  <si>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</si>
  <si>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</si>
  <si>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</si>
  <si>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</si>
  <si>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</si>
  <si>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</si>
  <si>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</si>
  <si>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</si>
  <si>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</si>
  <si>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</si>
  <si>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</si>
  <si>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</si>
  <si>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</si>
  <si>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</si>
  <si>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</si>
  <si>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</si>
  <si>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</si>
  <si>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</si>
  <si>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</si>
  <si>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</si>
  <si>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</si>
  <si>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</si>
  <si>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</si>
  <si>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</si>
  <si>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</si>
  <si>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</si>
  <si>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</si>
  <si>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</si>
  <si>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</si>
  <si>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</si>
  <si>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</si>
  <si>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</si>
  <si>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</si>
  <si>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</si>
  <si>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</si>
  <si>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</si>
  <si>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</si>
  <si>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</si>
  <si>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</si>
  <si>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</si>
  <si>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</si>
  <si>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</si>
  <si>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</si>
  <si>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</si>
  <si>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</si>
  <si>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</si>
  <si>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</si>
  <si>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</si>
  <si>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</si>
  <si>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</si>
  <si>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</si>
  <si>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</si>
  <si>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</si>
  <si>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</si>
  <si>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</si>
  <si>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</si>
  <si>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</si>
  <si>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</si>
  <si>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</si>
  <si>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</si>
  <si>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</si>
  <si>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</si>
  <si>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</si>
  <si>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</si>
  <si>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</si>
  <si>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</si>
  <si>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</si>
  <si>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</si>
  <si>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</si>
  <si>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</si>
  <si>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</si>
  <si>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</si>
  <si>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</si>
  <si>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</si>
  <si>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</si>
  <si>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</si>
  <si>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</si>
  <si>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</si>
  <si>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</si>
  <si>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</si>
  <si>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</si>
  <si>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</si>
  <si>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</si>
  <si>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</si>
  <si>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</si>
  <si>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</si>
  <si>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</si>
  <si>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</si>
  <si>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</si>
  <si>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</si>
  <si>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</si>
  <si>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</si>
  <si>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</si>
  <si>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</si>
  <si>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</si>
  <si>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</si>
  <si>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</si>
  <si>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</si>
  <si>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</si>
  <si>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</si>
  <si>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</si>
  <si>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</si>
  <si>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</si>
  <si>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</si>
  <si>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</si>
  <si>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</si>
  <si>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</si>
  <si>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</si>
  <si>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</si>
  <si>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</si>
  <si>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</si>
  <si>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</si>
  <si>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</si>
  <si>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</si>
  <si>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</si>
  <si>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</si>
  <si>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</si>
  <si>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</si>
  <si>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</si>
  <si>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</si>
  <si>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</si>
  <si>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</si>
  <si>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</si>
  <si>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</si>
  <si>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</si>
  <si>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</si>
  <si>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</si>
  <si>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</si>
  <si>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</si>
  <si>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</si>
  <si>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</si>
  <si>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</si>
  <si>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</si>
  <si>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</si>
  <si>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</si>
  <si>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</si>
  <si>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</si>
  <si>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</si>
  <si>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</si>
  <si>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</si>
  <si>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</si>
  <si>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</si>
  <si>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</si>
  <si>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</si>
  <si>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</si>
  <si>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</si>
  <si>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</si>
  <si>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</si>
  <si>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</si>
  <si>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</si>
  <si>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</si>
  <si>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</si>
  <si>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</si>
  <si>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</si>
  <si>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</si>
  <si>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</si>
  <si>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</si>
  <si>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</si>
  <si>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</si>
  <si>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</si>
  <si>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</si>
  <si>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</si>
  <si>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</si>
  <si>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</si>
  <si>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</si>
  <si>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</si>
  <si>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</si>
  <si>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</si>
  <si>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</si>
  <si>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</si>
  <si>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</si>
  <si>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</si>
  <si>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</si>
  <si>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</si>
  <si>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</si>
  <si>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</si>
  <si>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</si>
  <si>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</si>
  <si>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</si>
  <si>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</si>
  <si>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</si>
  <si>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</si>
  <si>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</si>
  <si>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</si>
  <si>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</si>
  <si>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</si>
  <si>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</si>
  <si>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</si>
  <si>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</si>
  <si>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</si>
  <si>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</si>
  <si>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</si>
  <si>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</si>
  <si>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</si>
  <si>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</si>
  <si>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</si>
  <si>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</si>
  <si>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</si>
  <si>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</si>
  <si>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</si>
  <si>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</si>
  <si>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</si>
  <si>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</si>
  <si>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</si>
  <si>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</si>
  <si>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</si>
  <si>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</si>
  <si>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</si>
  <si>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</si>
  <si>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</si>
  <si>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</si>
  <si>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</si>
  <si>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</si>
  <si>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</si>
  <si>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</si>
  <si>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</si>
  <si>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</si>
  <si>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</si>
  <si>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</si>
  <si>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</si>
  <si>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</si>
  <si>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</si>
  <si>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</si>
  <si>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</si>
  <si>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</si>
  <si>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</si>
  <si>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</si>
  <si>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</si>
  <si>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</si>
  <si>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</si>
  <si>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</si>
  <si>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</si>
  <si>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</si>
  <si>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</si>
  <si>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</si>
  <si>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</si>
  <si>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</si>
  <si>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</si>
  <si>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</si>
  <si>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</si>
  <si>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</si>
  <si>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</si>
  <si>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</si>
  <si>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</si>
  <si>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</si>
  <si>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</si>
  <si>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</si>
  <si>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</si>
  <si>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</si>
  <si>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</si>
  <si>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</si>
  <si>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</si>
  <si>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</si>
  <si>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</si>
  <si>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</si>
  <si>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</si>
  <si>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</si>
  <si>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</si>
  <si>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</si>
  <si>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</si>
  <si>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</si>
  <si>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</si>
  <si>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</si>
  <si>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</si>
  <si>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</si>
  <si>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</si>
  <si>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</si>
  <si>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</si>
  <si>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</si>
  <si>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</si>
  <si>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</si>
  <si>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</si>
  <si>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</si>
  <si>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</si>
  <si>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</si>
  <si>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</si>
  <si>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</si>
  <si>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</si>
  <si>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</si>
  <si>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</si>
  <si>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</si>
  <si>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</si>
  <si>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</si>
  <si>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</si>
  <si>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</si>
  <si>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</si>
  <si>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</si>
  <si>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</si>
  <si>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</si>
  <si>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</si>
  <si>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</si>
  <si>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</si>
  <si>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</si>
  <si>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</si>
  <si>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</si>
  <si>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</si>
  <si>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</si>
  <si>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</si>
  <si>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</si>
  <si>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</si>
  <si>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</si>
  <si>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</si>
  <si>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</si>
  <si>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</si>
  <si>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</si>
  <si>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</si>
  <si>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</si>
  <si>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</si>
  <si>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</si>
  <si>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</si>
  <si>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</si>
  <si>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</si>
  <si>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</si>
  <si>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</si>
  <si>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</si>
  <si>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</si>
  <si>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</si>
  <si>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</si>
  <si>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</si>
  <si>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</si>
  <si>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</si>
  <si>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</si>
  <si>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</si>
  <si>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</si>
  <si>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</si>
  <si>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</si>
  <si>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</si>
  <si>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</si>
  <si>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</si>
  <si>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</si>
  <si>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</si>
  <si>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</si>
  <si>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</si>
  <si>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</si>
  <si>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</si>
  <si>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</si>
  <si>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</si>
  <si>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</si>
  <si>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</si>
  <si>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</si>
  <si>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</si>
  <si>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</si>
  <si>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</si>
  <si>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</si>
  <si>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</si>
  <si>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</si>
  <si>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</si>
  <si>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</si>
  <si>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</si>
  <si>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</si>
  <si>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</si>
  <si>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</si>
  <si>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</si>
  <si>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</si>
  <si>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</si>
  <si>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</si>
  <si>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</si>
  <si>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</si>
  <si>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</si>
  <si>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</si>
  <si>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</si>
  <si>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</si>
  <si>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</si>
  <si>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</si>
  <si>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</si>
  <si>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</si>
  <si>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</si>
  <si>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</si>
  <si>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</si>
  <si>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</si>
  <si>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</si>
  <si>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</si>
  <si>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</si>
  <si>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</si>
  <si>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</si>
  <si>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</si>
  <si>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</si>
  <si>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</si>
  <si>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</si>
  <si>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</si>
  <si>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</si>
  <si>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</si>
  <si>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</si>
  <si>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</si>
  <si>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</si>
  <si>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</si>
  <si>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</si>
  <si>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</si>
  <si>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</si>
  <si>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</si>
  <si>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</si>
  <si>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</si>
  <si>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</si>
  <si>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</si>
  <si>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</si>
  <si>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</si>
  <si>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</si>
  <si>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</si>
  <si>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</si>
  <si>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</si>
  <si>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</si>
  <si>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</si>
  <si>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</si>
  <si>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</si>
  <si>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</si>
  <si>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</si>
  <si>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</si>
  <si>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</si>
  <si>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</si>
  <si>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</si>
  <si>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</si>
  <si>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</si>
  <si>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</si>
  <si>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</si>
  <si>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</si>
  <si>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</si>
  <si>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</si>
  <si>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</si>
  <si>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</si>
  <si>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</si>
  <si>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</si>
  <si>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</si>
  <si>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</si>
  <si>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</si>
  <si>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</si>
  <si>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</si>
  <si>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</si>
  <si>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</si>
  <si>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</si>
  <si>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</si>
  <si>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</si>
  <si>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</si>
  <si>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</si>
  <si>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</si>
  <si>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</si>
  <si>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</si>
  <si>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</si>
  <si>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</si>
  <si>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</si>
  <si>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</si>
  <si>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</si>
  <si>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</si>
  <si>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</si>
  <si>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</si>
  <si>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</si>
  <si>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</si>
  <si>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</si>
  <si>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</si>
  <si>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</si>
  <si>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</si>
  <si>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</si>
  <si>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</si>
  <si>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</si>
  <si>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</si>
  <si>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</si>
  <si>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</si>
  <si>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</si>
  <si>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</si>
  <si>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</si>
  <si>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</si>
  <si>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</si>
  <si>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</si>
  <si>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</si>
  <si>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</si>
  <si>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</si>
  <si>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</si>
  <si>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</si>
  <si>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</si>
  <si>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</si>
  <si>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</si>
  <si>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</si>
  <si>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</si>
  <si>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</si>
  <si>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</si>
  <si>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</si>
  <si>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</si>
  <si>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</si>
  <si>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</si>
  <si>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</si>
  <si>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</si>
  <si>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</si>
  <si>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</si>
  <si>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</si>
  <si>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</si>
  <si>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</si>
  <si>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</si>
  <si>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</si>
  <si>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</si>
  <si>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</si>
  <si>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</si>
  <si>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</si>
  <si>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</si>
  <si>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</si>
  <si>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</si>
  <si>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</si>
  <si>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</si>
  <si>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</si>
  <si>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</si>
  <si>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</si>
  <si>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</si>
  <si>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</si>
  <si>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</si>
  <si>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</si>
  <si>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</si>
  <si>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</si>
  <si>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</si>
  <si>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</si>
  <si>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</si>
  <si>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</si>
  <si>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</si>
  <si>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</si>
  <si>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</si>
  <si>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</si>
  <si>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</si>
  <si>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</si>
  <si>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</si>
  <si>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</si>
  <si>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</si>
  <si>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</si>
  <si>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</si>
  <si>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</si>
  <si>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</si>
  <si>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</si>
  <si>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</si>
  <si>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</si>
  <si>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</si>
  <si>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</si>
  <si>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</si>
  <si>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</si>
  <si>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</si>
  <si>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</si>
  <si>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</si>
  <si>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</si>
  <si>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</si>
  <si>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</si>
  <si>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</si>
  <si>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</si>
  <si>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www.terabank.ge</t>
  </si>
  <si>
    <t>6.2.1</t>
  </si>
  <si>
    <t xml:space="preserve">              General Reserves</t>
  </si>
  <si>
    <t>6.2.2</t>
  </si>
  <si>
    <t xml:space="preserve">              COVID 19 related Reserves</t>
  </si>
  <si>
    <t>Terabank</t>
  </si>
  <si>
    <t>H.H. Sheikh Nahayan Mabarak Al Nahayan</t>
  </si>
  <si>
    <t>Thea Lortkipanidze</t>
  </si>
  <si>
    <t>H.H. Sheikh Nahayan Mabarak Al Nahayan (Chairman)</t>
  </si>
  <si>
    <t>Non-independent chair</t>
  </si>
  <si>
    <t>H.E Sheikh Saif Mohammed Bin Buti Al Hamed (Deputy)</t>
  </si>
  <si>
    <t>Non-independent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</si>
  <si>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</si>
  <si>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</si>
  <si>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</si>
  <si>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</si>
  <si>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</si>
  <si>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</si>
  <si>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</si>
  <si>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</si>
  <si>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</si>
  <si>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</si>
  <si>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</si>
  <si>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</si>
  <si>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</si>
  <si>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</si>
  <si>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</si>
  <si>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</si>
  <si>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</si>
  <si>
    <t>ბანკი:</t>
  </si>
  <si>
    <t>თარიღი:</t>
  </si>
  <si>
    <t>ცხრილი 26</t>
  </si>
  <si>
    <t>საცალო პროდუქტები</t>
  </si>
  <si>
    <t>Auto loans</t>
  </si>
  <si>
    <t>Consumer Loans</t>
  </si>
  <si>
    <t>Between them: Loans issued on the basis of income from a pension or other state social disbursement</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</si>
  <si>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</si>
  <si>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</si>
  <si>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</si>
  <si>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</si>
  <si>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</si>
  <si>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</si>
  <si>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</si>
  <si>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</si>
  <si>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</si>
  <si>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</si>
  <si>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</si>
  <si>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ს.ს. "ტერაბანკი"</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</si>
  <si>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</si>
  <si>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</si>
  <si>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</si>
  <si>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</si>
  <si>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</si>
  <si>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</si>
  <si>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</si>
  <si>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Table 9 (Capital), N2</t>
  </si>
  <si>
    <t>Table 9 (Capital), N37</t>
  </si>
  <si>
    <t>Table 9 (Capital), N6</t>
  </si>
  <si>
    <t>Abhijit Choudhury (Member)</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</si>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</sst>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
      <b/>
      <sz val="10"/>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
      <sz val="9"/>
      <color theme="1"/>
      <name val="Calibri"/>
      <family val="2"/>
      <scheme val="minor"/>
    </font>
    <font>
      <i/>
      <sz val="1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33">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4"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7"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3" xfId="0" applyFont="1" applyBorder="1" applyAlignment="1">
      <alignment horizontal="center" vertical="center"/>
    </xf>
    <xf numFmtId="0" fontId="3" fillId="0" borderId="94" xfId="0" applyFont="1" applyBorder="1" applyAlignment="1">
      <alignment vertical="center"/>
    </xf>
    <xf numFmtId="169" fontId="9" fillId="37" borderId="27" xfId="20" applyBorder="1"/>
    <xf numFmtId="169" fontId="9" fillId="37" borderId="95" xfId="20" applyBorder="1"/>
    <xf numFmtId="169" fontId="9" fillId="37" borderId="28" xfId="20" applyBorder="1"/>
    <xf numFmtId="0" fontId="3" fillId="0" borderId="97" xfId="0" applyFont="1" applyBorder="1" applyAlignment="1">
      <alignment horizontal="center" vertical="center"/>
    </xf>
    <xf numFmtId="0" fontId="3" fillId="0" borderId="98" xfId="0" applyFont="1" applyBorder="1" applyAlignment="1">
      <alignment vertical="center"/>
    </xf>
    <xf numFmtId="169" fontId="9" fillId="37" borderId="33"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0" fontId="84" fillId="0" borderId="87" xfId="0" applyFont="1" applyBorder="1" applyAlignment="1">
      <alignment horizontal="left" indent="1"/>
    </xf>
    <xf numFmtId="0" fontId="87" fillId="0" borderId="87"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5" xfId="20964" applyFont="1" applyFill="1" applyBorder="1">
      <alignment vertical="center"/>
    </xf>
    <xf numFmtId="0" fontId="45" fillId="77" borderId="106" xfId="20964" applyFont="1" applyFill="1" applyBorder="1">
      <alignment vertical="center"/>
    </xf>
    <xf numFmtId="0" fontId="45" fillId="77" borderId="103" xfId="20964" applyFont="1" applyFill="1" applyBorder="1">
      <alignment vertical="center"/>
    </xf>
    <xf numFmtId="0" fontId="105" fillId="70" borderId="102" xfId="20964" applyFont="1" applyFill="1" applyBorder="1" applyAlignment="1">
      <alignment horizontal="center" vertical="center"/>
    </xf>
    <xf numFmtId="0" fontId="105" fillId="70" borderId="103" xfId="20964" applyFont="1" applyFill="1" applyBorder="1" applyAlignment="1">
      <alignment horizontal="left" vertical="center" wrapText="1"/>
    </xf>
    <xf numFmtId="0" fontId="104" fillId="78" borderId="104" xfId="20964" applyFont="1" applyFill="1" applyBorder="1" applyAlignment="1">
      <alignment horizontal="center" vertical="center"/>
    </xf>
    <xf numFmtId="0" fontId="104" fillId="78" borderId="106" xfId="20964" applyFont="1" applyFill="1" applyBorder="1" applyAlignment="1">
      <alignment vertical="top" wrapText="1"/>
    </xf>
    <xf numFmtId="0" fontId="106" fillId="70" borderId="102" xfId="20964" applyFont="1" applyFill="1" applyBorder="1" applyAlignment="1">
      <alignment horizontal="center" vertical="center"/>
    </xf>
    <xf numFmtId="0" fontId="105" fillId="70" borderId="106" xfId="20964" applyFont="1" applyFill="1" applyBorder="1" applyAlignment="1">
      <alignment vertical="center" wrapText="1"/>
    </xf>
    <xf numFmtId="0" fontId="105" fillId="70" borderId="103" xfId="20964" applyFont="1" applyFill="1" applyBorder="1" applyAlignment="1">
      <alignment horizontal="left" vertical="center"/>
    </xf>
    <xf numFmtId="0" fontId="106" fillId="3" borderId="102" xfId="20964" applyFont="1" applyFill="1" applyBorder="1" applyAlignment="1">
      <alignment horizontal="center" vertical="center"/>
    </xf>
    <xf numFmtId="0" fontId="105" fillId="3" borderId="103" xfId="20964" applyFont="1" applyFill="1" applyBorder="1" applyAlignment="1">
      <alignment horizontal="left" vertical="center"/>
    </xf>
    <xf numFmtId="0" fontId="106" fillId="0" borderId="102" xfId="20964" applyFont="1" applyBorder="1" applyAlignment="1">
      <alignment horizontal="center" vertical="center"/>
    </xf>
    <xf numFmtId="0" fontId="105" fillId="0" borderId="103" xfId="20964" applyFont="1" applyBorder="1" applyAlignment="1">
      <alignment horizontal="left" vertical="center"/>
    </xf>
    <xf numFmtId="0" fontId="107" fillId="78" borderId="104" xfId="20964" applyFont="1" applyFill="1" applyBorder="1" applyAlignment="1">
      <alignment horizontal="center" vertical="center"/>
    </xf>
    <xf numFmtId="0" fontId="104" fillId="78" borderId="106" xfId="20964" applyFont="1" applyFill="1" applyBorder="1">
      <alignment vertical="center"/>
    </xf>
    <xf numFmtId="0" fontId="104" fillId="77" borderId="105" xfId="20964" applyFont="1" applyFill="1" applyBorder="1">
      <alignment vertical="center"/>
    </xf>
    <xf numFmtId="0" fontId="104" fillId="77" borderId="106" xfId="20964" applyFont="1" applyFill="1" applyBorder="1">
      <alignment vertical="center"/>
    </xf>
    <xf numFmtId="0" fontId="109" fillId="3" borderId="102" xfId="20964" applyFont="1" applyFill="1" applyBorder="1" applyAlignment="1">
      <alignment horizontal="center" vertical="center"/>
    </xf>
    <xf numFmtId="0" fontId="110" fillId="78" borderId="104" xfId="20964" applyFont="1" applyFill="1" applyBorder="1" applyAlignment="1">
      <alignment horizontal="center" vertical="center"/>
    </xf>
    <xf numFmtId="0" fontId="45" fillId="78" borderId="106" xfId="20964" applyFont="1" applyFill="1" applyBorder="1">
      <alignment vertical="center"/>
    </xf>
    <xf numFmtId="0" fontId="109" fillId="70" borderId="102" xfId="20964" applyFont="1" applyFill="1" applyBorder="1" applyAlignment="1">
      <alignment horizontal="center" vertical="center"/>
    </xf>
    <xf numFmtId="0" fontId="110" fillId="3" borderId="104" xfId="20964" applyFont="1" applyFill="1" applyBorder="1" applyAlignment="1">
      <alignment horizontal="center" vertical="center"/>
    </xf>
    <xf numFmtId="0" fontId="45" fillId="3" borderId="106" xfId="20964" applyFont="1" applyFill="1" applyBorder="1">
      <alignment vertical="center"/>
    </xf>
    <xf numFmtId="0" fontId="106" fillId="70" borderId="104" xfId="20964" applyFont="1" applyFill="1" applyBorder="1" applyAlignment="1">
      <alignment horizontal="center" vertical="center"/>
    </xf>
    <xf numFmtId="0" fontId="19" fillId="70" borderId="104" xfId="20964" applyFont="1" applyFill="1" applyBorder="1" applyAlignment="1">
      <alignment horizontal="center" vertical="center"/>
    </xf>
    <xf numFmtId="0" fontId="100" fillId="0" borderId="104" xfId="0" applyFont="1" applyBorder="1" applyAlignment="1">
      <alignment horizontal="left" vertical="center" wrapText="1"/>
    </xf>
    <xf numFmtId="10" fontId="102" fillId="0" borderId="25" xfId="20962" applyNumberFormat="1" applyFont="1" applyFill="1" applyBorder="1" applyAlignment="1" applyProtection="1">
      <alignment horizontal="left" vertical="center"/>
    </xf>
    <xf numFmtId="0" fontId="4" fillId="36" borderId="104" xfId="0" applyFont="1" applyFill="1" applyBorder="1" applyAlignment="1">
      <alignment horizontal="left" vertical="center" wrapText="1"/>
    </xf>
    <xf numFmtId="0" fontId="3" fillId="0" borderId="104" xfId="0" applyFont="1" applyBorder="1" applyAlignment="1">
      <alignment horizontal="left" vertical="center" wrapText="1"/>
    </xf>
    <xf numFmtId="0" fontId="4" fillId="36" borderId="89" xfId="0" applyFont="1" applyFill="1" applyBorder="1" applyAlignment="1">
      <alignment vertical="center" wrapText="1"/>
    </xf>
    <xf numFmtId="0" fontId="4" fillId="36" borderId="103"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4" xfId="0" applyFont="1" applyBorder="1"/>
    <xf numFmtId="0" fontId="6" fillId="0" borderId="104" xfId="17" applyFill="1" applyBorder="1" applyAlignment="1" applyProtection="1">
      <alignment horizontal="left" vertical="center"/>
    </xf>
    <xf numFmtId="0" fontId="6" fillId="0" borderId="104" xfId="17" applyBorder="1" applyAlignment="1" applyProtection="1"/>
    <xf numFmtId="0" fontId="6" fillId="0" borderId="104" xfId="17" applyFill="1" applyBorder="1" applyAlignment="1" applyProtection="1">
      <alignment horizontal="left" vertical="center" wrapText="1"/>
    </xf>
    <xf numFmtId="0" fontId="6" fillId="0" borderId="104"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7" xfId="0" applyFont="1" applyFill="1" applyBorder="1" applyAlignment="1">
      <alignment wrapText="1"/>
    </xf>
    <xf numFmtId="0" fontId="3" fillId="3" borderId="108" xfId="0" applyFont="1" applyFill="1" applyBorder="1"/>
    <xf numFmtId="0" fontId="4" fillId="3" borderId="82" xfId="0" applyFont="1" applyFill="1" applyBorder="1" applyAlignment="1">
      <alignment horizontal="center" wrapText="1"/>
    </xf>
    <xf numFmtId="0" fontId="3" fillId="0" borderId="104"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1" xfId="0" applyFont="1" applyFill="1" applyBorder="1" applyAlignment="1">
      <alignment horizontal="center" vertical="center" wrapText="1"/>
    </xf>
    <xf numFmtId="0" fontId="3" fillId="0" borderId="21" xfId="0" applyFont="1" applyBorder="1"/>
    <xf numFmtId="0" fontId="3" fillId="0" borderId="104" xfId="0" applyFont="1" applyBorder="1" applyAlignment="1">
      <alignment wrapText="1"/>
    </xf>
    <xf numFmtId="164" fontId="3" fillId="0" borderId="88" xfId="7" applyNumberFormat="1" applyFont="1" applyBorder="1"/>
    <xf numFmtId="0" fontId="99" fillId="0" borderId="104" xfId="0" applyFont="1" applyBorder="1" applyAlignment="1">
      <alignment horizontal="left" wrapText="1" indent="2"/>
    </xf>
    <xf numFmtId="0" fontId="4" fillId="0" borderId="21" xfId="0" applyFont="1" applyBorder="1"/>
    <xf numFmtId="0" fontId="4" fillId="0" borderId="104" xfId="0" applyFont="1" applyBorder="1" applyAlignment="1">
      <alignment wrapText="1"/>
    </xf>
    <xf numFmtId="164" fontId="4" fillId="0" borderId="88" xfId="7" applyNumberFormat="1" applyFont="1" applyBorder="1"/>
    <xf numFmtId="0" fontId="111" fillId="3" borderId="69"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1" xfId="7" applyNumberFormat="1" applyFont="1" applyFill="1" applyBorder="1"/>
    <xf numFmtId="0" fontId="99" fillId="0" borderId="104"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1"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3" xfId="0" applyFont="1" applyFill="1" applyBorder="1" applyAlignment="1">
      <alignment horizontal="right" vertical="center"/>
    </xf>
    <xf numFmtId="0" fontId="2" fillId="0" borderId="102" xfId="0" applyFont="1" applyBorder="1" applyAlignment="1">
      <alignment vertical="center" wrapText="1"/>
    </xf>
    <xf numFmtId="0" fontId="112" fillId="0" borderId="0" xfId="11" applyFont="1"/>
    <xf numFmtId="0" fontId="114" fillId="0" borderId="0" xfId="11" applyFont="1"/>
    <xf numFmtId="0" fontId="117" fillId="0" borderId="119" xfId="13" applyFont="1" applyBorder="1" applyAlignment="1" applyProtection="1">
      <alignment horizontal="left" vertical="center" wrapText="1"/>
      <protection locked="0"/>
    </xf>
    <xf numFmtId="49" fontId="117" fillId="0" borderId="119" xfId="5" applyNumberFormat="1" applyFont="1" applyBorder="1" applyAlignment="1" applyProtection="1">
      <alignment horizontal="right" vertical="center"/>
      <protection locked="0"/>
    </xf>
    <xf numFmtId="49" fontId="118" fillId="0" borderId="119" xfId="5" applyNumberFormat="1" applyFont="1" applyBorder="1" applyAlignment="1" applyProtection="1">
      <alignment horizontal="right" vertical="center"/>
      <protection locked="0"/>
    </xf>
    <xf numFmtId="0" fontId="113" fillId="0" borderId="119" xfId="0" applyFont="1" applyBorder="1"/>
    <xf numFmtId="49" fontId="117" fillId="0" borderId="119" xfId="5" applyNumberFormat="1" applyFont="1" applyBorder="1" applyAlignment="1" applyProtection="1">
      <alignment horizontal="right" vertical="center" wrapText="1"/>
      <protection locked="0"/>
    </xf>
    <xf numFmtId="49" fontId="118" fillId="0" borderId="119" xfId="5" applyNumberFormat="1" applyFont="1" applyBorder="1" applyAlignment="1" applyProtection="1">
      <alignment horizontal="right" vertical="center" wrapText="1"/>
      <protection locked="0"/>
    </xf>
    <xf numFmtId="0" fontId="113" fillId="0" borderId="0" xfId="0" applyFont="1"/>
    <xf numFmtId="0" fontId="112" fillId="0" borderId="119" xfId="0" applyFont="1" applyBorder="1" applyAlignment="1">
      <alignment horizontal="left" vertical="center" wrapText="1"/>
    </xf>
    <xf numFmtId="0" fontId="116" fillId="0" borderId="119" xfId="0" applyFont="1" applyBorder="1"/>
    <xf numFmtId="0" fontId="115" fillId="0" borderId="119" xfId="0" applyFont="1" applyBorder="1" applyAlignment="1">
      <alignment horizontal="left" indent="1"/>
    </xf>
    <xf numFmtId="0" fontId="115" fillId="0" borderId="119" xfId="0" applyFont="1" applyBorder="1" applyAlignment="1">
      <alignment horizontal="left" wrapText="1" indent="1"/>
    </xf>
    <xf numFmtId="0" fontId="112" fillId="0" borderId="119" xfId="0" applyFont="1" applyBorder="1" applyAlignment="1">
      <alignment horizontal="left" indent="1"/>
    </xf>
    <xf numFmtId="0" fontId="112" fillId="0" borderId="119" xfId="0" applyFont="1" applyBorder="1" applyAlignment="1">
      <alignment horizontal="left" wrapText="1" indent="2"/>
    </xf>
    <xf numFmtId="0" fontId="115" fillId="0" borderId="119" xfId="0" applyFont="1" applyBorder="1" applyAlignment="1">
      <alignment horizontal="left" vertical="center" indent="1"/>
    </xf>
    <xf numFmtId="0" fontId="113" fillId="0" borderId="119" xfId="0" applyFont="1" applyBorder="1" applyAlignment="1">
      <alignment horizontal="left" wrapText="1"/>
    </xf>
    <xf numFmtId="0" fontId="113" fillId="0" borderId="119" xfId="0" applyFont="1" applyBorder="1" applyAlignment="1">
      <alignment horizontal="left" wrapText="1" indent="2"/>
    </xf>
    <xf numFmtId="49" fontId="113" fillId="0" borderId="119" xfId="0" applyNumberFormat="1" applyFont="1" applyBorder="1" applyAlignment="1">
      <alignment horizontal="left" indent="3"/>
    </xf>
    <xf numFmtId="49" fontId="113" fillId="0" borderId="119" xfId="0" applyNumberFormat="1" applyFont="1" applyBorder="1" applyAlignment="1">
      <alignment horizontal="left" indent="1"/>
    </xf>
    <xf numFmtId="49" fontId="113" fillId="0" borderId="119" xfId="0" applyNumberFormat="1" applyFont="1" applyBorder="1" applyAlignment="1">
      <alignment horizontal="left" vertical="top" wrapText="1" indent="2"/>
    </xf>
    <xf numFmtId="49" fontId="113" fillId="0" borderId="119" xfId="0" applyNumberFormat="1" applyFont="1" applyBorder="1" applyAlignment="1">
      <alignment horizontal="left" wrapText="1" indent="3"/>
    </xf>
    <xf numFmtId="49" fontId="113" fillId="0" borderId="119" xfId="0" applyNumberFormat="1" applyFont="1" applyBorder="1" applyAlignment="1">
      <alignment horizontal="left" wrapText="1" indent="2"/>
    </xf>
    <xf numFmtId="0" fontId="113" fillId="0" borderId="119" xfId="0" applyFont="1" applyBorder="1" applyAlignment="1">
      <alignment horizontal="left" wrapText="1" indent="1"/>
    </xf>
    <xf numFmtId="49" fontId="113" fillId="0" borderId="119" xfId="0" applyNumberFormat="1" applyFont="1" applyBorder="1" applyAlignment="1">
      <alignment horizontal="left" wrapText="1" indent="1"/>
    </xf>
    <xf numFmtId="0" fontId="115" fillId="0" borderId="75" xfId="0" applyFont="1" applyBorder="1" applyAlignment="1">
      <alignment horizontal="left" vertical="center" wrapText="1"/>
    </xf>
    <xf numFmtId="0" fontId="113" fillId="0" borderId="120" xfId="0" applyFont="1" applyBorder="1" applyAlignment="1">
      <alignment horizontal="center" vertical="center" wrapText="1"/>
    </xf>
    <xf numFmtId="0" fontId="115" fillId="0" borderId="119" xfId="0" applyFont="1" applyBorder="1" applyAlignment="1">
      <alignment horizontal="left" vertical="center" wrapText="1"/>
    </xf>
    <xf numFmtId="0" fontId="113" fillId="0" borderId="119" xfId="0" applyFont="1" applyBorder="1" applyAlignment="1">
      <alignment horizontal="left" indent="1"/>
    </xf>
    <xf numFmtId="0" fontId="6" fillId="0" borderId="119" xfId="17" applyBorder="1" applyAlignment="1" applyProtection="1"/>
    <xf numFmtId="0" fontId="116" fillId="0" borderId="119"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19"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19" xfId="0" applyFont="1" applyBorder="1" applyAlignment="1">
      <alignment horizontal="center" vertical="center"/>
    </xf>
    <xf numFmtId="0" fontId="113" fillId="0" borderId="119" xfId="0" applyFont="1" applyBorder="1" applyAlignment="1">
      <alignment horizontal="center" vertical="center" wrapText="1"/>
    </xf>
    <xf numFmtId="0" fontId="116" fillId="0" borderId="0" xfId="0" applyFont="1"/>
    <xf numFmtId="0" fontId="113" fillId="0" borderId="119" xfId="0" applyFont="1" applyBorder="1" applyAlignment="1">
      <alignment wrapText="1"/>
    </xf>
    <xf numFmtId="0" fontId="113" fillId="0" borderId="119"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19" xfId="0" applyNumberFormat="1" applyFont="1" applyBorder="1" applyAlignment="1">
      <alignment horizontal="center" vertical="center" wrapText="1"/>
    </xf>
    <xf numFmtId="0" fontId="113" fillId="0" borderId="119" xfId="0" applyFont="1" applyBorder="1" applyAlignment="1">
      <alignment horizontal="center"/>
    </xf>
    <xf numFmtId="0" fontId="113" fillId="0" borderId="7" xfId="0" applyFont="1" applyBorder="1"/>
    <xf numFmtId="0" fontId="113" fillId="0" borderId="119"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19" xfId="0" applyFont="1" applyBorder="1" applyAlignment="1">
      <alignment horizontal="center" vertical="center" wrapText="1"/>
    </xf>
    <xf numFmtId="0" fontId="113" fillId="79" borderId="119" xfId="0" applyFont="1" applyFill="1" applyBorder="1"/>
    <xf numFmtId="0" fontId="116" fillId="79" borderId="119" xfId="0" applyFont="1" applyFill="1" applyBorder="1"/>
    <xf numFmtId="169" fontId="9" fillId="37" borderId="101" xfId="20" applyBorder="1"/>
    <xf numFmtId="193" fontId="96" fillId="0" borderId="119" xfId="0" applyNumberFormat="1" applyFont="1" applyBorder="1" applyAlignment="1">
      <alignment vertical="center" wrapText="1"/>
    </xf>
    <xf numFmtId="193" fontId="3" fillId="0" borderId="119" xfId="0" applyNumberFormat="1" applyFont="1" applyBorder="1" applyAlignment="1">
      <alignment vertical="center" wrapText="1"/>
    </xf>
    <xf numFmtId="193" fontId="96" fillId="0" borderId="119" xfId="0" applyNumberFormat="1" applyFont="1" applyBorder="1" applyAlignment="1" applyProtection="1">
      <alignment vertical="center" wrapText="1"/>
      <protection locked="0"/>
    </xf>
    <xf numFmtId="193" fontId="3" fillId="0" borderId="119" xfId="0" applyNumberFormat="1" applyFont="1" applyBorder="1" applyAlignment="1" applyProtection="1">
      <alignment vertical="center" wrapText="1"/>
      <protection locked="0"/>
    </xf>
    <xf numFmtId="193" fontId="3" fillId="0" borderId="88" xfId="0" applyNumberFormat="1" applyFont="1" applyBorder="1" applyAlignment="1" applyProtection="1">
      <alignment vertical="center" wrapText="1"/>
      <protection locked="0"/>
    </xf>
    <xf numFmtId="193" fontId="96" fillId="0" borderId="119" xfId="0" applyNumberFormat="1" applyFont="1" applyBorder="1" applyAlignment="1">
      <alignment horizontal="right" vertical="center" wrapText="1"/>
    </xf>
    <xf numFmtId="164" fontId="3" fillId="0" borderId="119" xfId="7" applyNumberFormat="1" applyFont="1" applyFill="1" applyBorder="1" applyAlignment="1" applyProtection="1">
      <alignment vertical="center" wrapText="1"/>
    </xf>
    <xf numFmtId="164" fontId="3" fillId="0" borderId="88" xfId="7" applyNumberFormat="1" applyFont="1" applyFill="1" applyBorder="1" applyAlignment="1" applyProtection="1">
      <alignment vertical="center" wrapText="1"/>
    </xf>
    <xf numFmtId="10" fontId="3" fillId="0" borderId="119" xfId="20962" applyNumberFormat="1" applyFont="1" applyFill="1" applyBorder="1" applyAlignment="1" applyProtection="1">
      <alignment horizontal="right" vertical="center" wrapText="1"/>
    </xf>
    <xf numFmtId="10" fontId="3" fillId="0" borderId="119" xfId="20962" applyNumberFormat="1" applyFont="1" applyBorder="1" applyAlignment="1" applyProtection="1">
      <alignment vertical="center" wrapText="1"/>
    </xf>
    <xf numFmtId="10" fontId="3" fillId="0" borderId="88" xfId="20962" applyNumberFormat="1" applyFont="1" applyBorder="1" applyAlignment="1" applyProtection="1">
      <alignment vertical="center" wrapText="1"/>
    </xf>
    <xf numFmtId="10" fontId="3" fillId="0" borderId="119" xfId="20962" applyNumberFormat="1" applyFont="1" applyFill="1" applyBorder="1" applyAlignment="1" applyProtection="1">
      <alignment horizontal="right" vertical="center" wrapText="1"/>
      <protection locked="0"/>
    </xf>
    <xf numFmtId="10" fontId="122" fillId="2" borderId="119" xfId="20962" applyNumberFormat="1" applyFont="1" applyFill="1" applyBorder="1" applyAlignment="1" applyProtection="1">
      <alignment vertical="center"/>
    </xf>
    <xf numFmtId="10" fontId="122" fillId="2" borderId="88" xfId="20962" applyNumberFormat="1" applyFont="1" applyFill="1" applyBorder="1" applyAlignment="1" applyProtection="1">
      <alignment vertical="center"/>
    </xf>
    <xf numFmtId="10" fontId="94" fillId="2" borderId="119" xfId="20962" applyNumberFormat="1" applyFont="1" applyFill="1" applyBorder="1" applyAlignment="1" applyProtection="1">
      <alignment vertical="center"/>
    </xf>
    <xf numFmtId="10" fontId="9" fillId="37" borderId="0" xfId="20962" applyNumberFormat="1" applyFont="1" applyFill="1" applyBorder="1" applyProtection="1"/>
    <xf numFmtId="10" fontId="9" fillId="37" borderId="101" xfId="20962" applyNumberFormat="1" applyFont="1" applyFill="1" applyBorder="1" applyProtection="1"/>
    <xf numFmtId="10" fontId="94" fillId="2" borderId="88" xfId="20962" applyNumberFormat="1" applyFont="1" applyFill="1" applyBorder="1" applyAlignment="1" applyProtection="1">
      <alignment vertical="center"/>
    </xf>
    <xf numFmtId="193" fontId="94" fillId="0" borderId="119" xfId="0" applyNumberFormat="1" applyFont="1" applyBorder="1" applyAlignment="1">
      <alignment vertical="center"/>
    </xf>
    <xf numFmtId="193" fontId="94" fillId="0" borderId="88" xfId="0" applyNumberFormat="1" applyFont="1" applyBorder="1" applyAlignment="1">
      <alignment vertical="center"/>
    </xf>
    <xf numFmtId="193" fontId="122" fillId="0" borderId="119" xfId="0" applyNumberFormat="1" applyFont="1" applyBorder="1" applyAlignment="1">
      <alignment vertical="center"/>
    </xf>
    <xf numFmtId="193" fontId="122" fillId="0" borderId="88" xfId="0" applyNumberFormat="1" applyFont="1" applyBorder="1" applyAlignment="1">
      <alignment vertical="center"/>
    </xf>
    <xf numFmtId="165" fontId="94" fillId="2" borderId="119" xfId="20962" applyNumberFormat="1" applyFont="1" applyFill="1" applyBorder="1" applyAlignment="1" applyProtection="1">
      <alignment vertical="center"/>
      <protection locked="0"/>
    </xf>
    <xf numFmtId="165" fontId="122" fillId="2" borderId="119" xfId="20962" applyNumberFormat="1" applyFont="1" applyFill="1" applyBorder="1" applyAlignment="1" applyProtection="1">
      <alignment vertical="center"/>
      <protection locked="0"/>
    </xf>
    <xf numFmtId="165" fontId="122" fillId="2" borderId="88" xfId="20962" applyNumberFormat="1" applyFont="1" applyFill="1" applyBorder="1" applyAlignment="1" applyProtection="1">
      <alignment vertical="center"/>
      <protection locked="0"/>
    </xf>
    <xf numFmtId="193" fontId="122" fillId="0" borderId="119" xfId="0" applyNumberFormat="1" applyFont="1" applyBorder="1" applyAlignment="1" applyProtection="1">
      <alignment vertical="center"/>
      <protection locked="0"/>
    </xf>
    <xf numFmtId="193" fontId="122" fillId="0" borderId="88" xfId="0" applyNumberFormat="1" applyFont="1" applyBorder="1" applyAlignment="1" applyProtection="1">
      <alignment vertical="center"/>
      <protection locked="0"/>
    </xf>
    <xf numFmtId="10" fontId="122" fillId="0" borderId="26" xfId="20962" applyNumberFormat="1" applyFont="1" applyFill="1" applyBorder="1" applyAlignment="1" applyProtection="1">
      <alignment vertical="center"/>
      <protection locked="0"/>
    </xf>
    <xf numFmtId="193" fontId="94" fillId="0" borderId="119" xfId="7" applyNumberFormat="1" applyFont="1" applyFill="1" applyBorder="1" applyAlignment="1" applyProtection="1">
      <alignment horizontal="right"/>
    </xf>
    <xf numFmtId="193" fontId="94" fillId="36" borderId="119" xfId="7" applyNumberFormat="1" applyFont="1" applyFill="1" applyBorder="1" applyAlignment="1" applyProtection="1">
      <alignment horizontal="right"/>
    </xf>
    <xf numFmtId="193" fontId="94" fillId="36" borderId="88" xfId="0" applyNumberFormat="1" applyFont="1" applyFill="1" applyBorder="1" applyAlignment="1">
      <alignment horizontal="right"/>
    </xf>
    <xf numFmtId="193" fontId="94" fillId="0" borderId="119" xfId="7" applyNumberFormat="1" applyFont="1" applyFill="1" applyBorder="1" applyAlignment="1" applyProtection="1">
      <alignment horizontal="right"/>
      <protection locked="0"/>
    </xf>
    <xf numFmtId="193" fontId="94" fillId="0" borderId="88" xfId="0" applyNumberFormat="1" applyFont="1" applyBorder="1" applyAlignment="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lignment horizontal="right"/>
    </xf>
    <xf numFmtId="193" fontId="123" fillId="0" borderId="119" xfId="0" applyNumberFormat="1" applyFont="1" applyBorder="1" applyAlignment="1" applyProtection="1">
      <alignment horizontal="right"/>
      <protection locked="0"/>
    </xf>
    <xf numFmtId="193" fontId="94" fillId="36" borderId="88" xfId="7" applyNumberFormat="1" applyFont="1" applyFill="1" applyBorder="1" applyAlignment="1" applyProtection="1">
      <alignment horizontal="right"/>
    </xf>
    <xf numFmtId="193" fontId="123" fillId="36" borderId="119" xfId="0" applyNumberFormat="1" applyFont="1" applyFill="1" applyBorder="1" applyAlignment="1">
      <alignment horizontal="right"/>
    </xf>
    <xf numFmtId="193" fontId="94" fillId="0" borderId="88" xfId="7" applyNumberFormat="1" applyFont="1" applyFill="1" applyBorder="1" applyAlignment="1" applyProtection="1">
      <alignment horizontal="right"/>
    </xf>
    <xf numFmtId="193" fontId="124" fillId="0" borderId="119" xfId="0" applyNumberFormat="1" applyFont="1" applyBorder="1" applyAlignment="1">
      <alignment horizontal="center"/>
    </xf>
    <xf numFmtId="193" fontId="124" fillId="0" borderId="88" xfId="0" applyNumberFormat="1" applyFont="1" applyBorder="1" applyAlignment="1">
      <alignment horizontal="center"/>
    </xf>
    <xf numFmtId="193" fontId="123" fillId="0" borderId="88" xfId="0" applyNumberFormat="1" applyFont="1" applyBorder="1" applyAlignment="1" applyProtection="1">
      <alignment horizontal="right"/>
      <protection locked="0"/>
    </xf>
    <xf numFmtId="164" fontId="94" fillId="36" borderId="119" xfId="7" applyNumberFormat="1" applyFont="1" applyFill="1" applyBorder="1" applyAlignment="1" applyProtection="1">
      <alignment horizontal="right"/>
    </xf>
    <xf numFmtId="164" fontId="94" fillId="36" borderId="88" xfId="7" applyNumberFormat="1" applyFont="1" applyFill="1" applyBorder="1" applyAlignment="1" applyProtection="1">
      <alignment horizontal="right"/>
    </xf>
    <xf numFmtId="164" fontId="123" fillId="36" borderId="119" xfId="7" applyNumberFormat="1" applyFont="1" applyFill="1" applyBorder="1" applyAlignment="1" applyProtection="1">
      <alignment horizontal="right"/>
    </xf>
    <xf numFmtId="193" fontId="123"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93" fontId="94" fillId="0" borderId="119" xfId="0" applyNumberFormat="1" applyFont="1" applyBorder="1" applyAlignment="1">
      <alignment horizontal="right"/>
    </xf>
    <xf numFmtId="193" fontId="94" fillId="36" borderId="119"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3" fontId="103" fillId="36" borderId="119" xfId="0" applyNumberFormat="1" applyFont="1" applyFill="1" applyBorder="1" applyAlignment="1">
      <alignment vertical="center" wrapText="1"/>
    </xf>
    <xf numFmtId="3" fontId="103" fillId="36" borderId="121" xfId="0" applyNumberFormat="1" applyFont="1" applyFill="1" applyBorder="1" applyAlignment="1">
      <alignment vertical="center" wrapText="1"/>
    </xf>
    <xf numFmtId="3" fontId="103" fillId="0" borderId="119" xfId="0" applyNumberFormat="1" applyFont="1" applyBorder="1" applyAlignment="1">
      <alignment vertical="center" wrapText="1"/>
    </xf>
    <xf numFmtId="3" fontId="103" fillId="0" borderId="121" xfId="0" applyNumberFormat="1" applyFont="1" applyBorder="1" applyAlignment="1">
      <alignment vertical="center" wrapText="1"/>
    </xf>
    <xf numFmtId="0" fontId="2" fillId="0" borderId="121" xfId="0" applyFont="1" applyBorder="1" applyAlignment="1">
      <alignment wrapText="1"/>
    </xf>
    <xf numFmtId="0" fontId="84" fillId="0" borderId="91" xfId="0" applyFont="1" applyBorder="1"/>
    <xf numFmtId="0" fontId="2" fillId="0" borderId="93" xfId="0" applyFont="1" applyBorder="1" applyAlignment="1">
      <alignment vertical="center"/>
    </xf>
    <xf numFmtId="0" fontId="2" fillId="0" borderId="111" xfId="0" applyFont="1" applyBorder="1" applyAlignment="1">
      <alignment wrapText="1"/>
    </xf>
    <xf numFmtId="0" fontId="84" fillId="0" borderId="126" xfId="0" applyFont="1" applyBorder="1"/>
    <xf numFmtId="9" fontId="125" fillId="0" borderId="91" xfId="0" applyNumberFormat="1" applyFont="1" applyBorder="1"/>
    <xf numFmtId="9" fontId="125" fillId="0" borderId="126" xfId="0" applyNumberFormat="1" applyFont="1" applyBorder="1"/>
    <xf numFmtId="167" fontId="3" fillId="0" borderId="119" xfId="0" applyNumberFormat="1" applyFont="1" applyBorder="1" applyAlignment="1">
      <alignment horizontal="center" vertical="center"/>
    </xf>
    <xf numFmtId="167" fontId="3" fillId="0" borderId="88" xfId="0" applyNumberFormat="1" applyFont="1" applyBorder="1" applyAlignment="1">
      <alignment horizontal="center" vertical="center"/>
    </xf>
    <xf numFmtId="167" fontId="99" fillId="0" borderId="119"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0" fillId="36" borderId="20" xfId="0" applyNumberFormat="1" applyFill="1" applyBorder="1" applyAlignment="1">
      <alignment horizontal="center" vertical="center"/>
    </xf>
    <xf numFmtId="193" fontId="0" fillId="0" borderId="88" xfId="0" applyNumberFormat="1" applyBorder="1"/>
    <xf numFmtId="193" fontId="0" fillId="0" borderId="88" xfId="0" applyNumberFormat="1" applyBorder="1" applyAlignment="1">
      <alignment wrapText="1"/>
    </xf>
    <xf numFmtId="193" fontId="0" fillId="36" borderId="88"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96" fillId="36" borderId="88" xfId="2" applyNumberFormat="1" applyFont="1" applyFill="1" applyBorder="1" applyAlignment="1" applyProtection="1">
      <alignment vertical="top"/>
    </xf>
    <xf numFmtId="193" fontId="96" fillId="3" borderId="88" xfId="2" applyNumberFormat="1" applyFont="1" applyFill="1" applyBorder="1" applyAlignment="1" applyProtection="1">
      <alignment vertical="top"/>
      <protection locked="0"/>
    </xf>
    <xf numFmtId="193" fontId="96" fillId="36" borderId="88" xfId="2" applyNumberFormat="1" applyFont="1" applyFill="1" applyBorder="1" applyAlignment="1" applyProtection="1">
      <alignment vertical="top" wrapText="1"/>
    </xf>
    <xf numFmtId="193" fontId="96" fillId="3" borderId="88" xfId="2" applyNumberFormat="1" applyFont="1" applyFill="1" applyBorder="1" applyAlignment="1" applyProtection="1">
      <alignment vertical="top" wrapText="1"/>
      <protection locked="0"/>
    </xf>
    <xf numFmtId="193" fontId="96" fillId="36" borderId="88"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0" fontId="96" fillId="0" borderId="119" xfId="20962" applyNumberFormat="1" applyFont="1" applyFill="1" applyBorder="1" applyAlignment="1">
      <alignment horizontal="left" vertical="center" wrapText="1"/>
    </xf>
    <xf numFmtId="164" fontId="3" fillId="0" borderId="88" xfId="7" applyNumberFormat="1" applyFont="1" applyFill="1" applyBorder="1" applyAlignment="1">
      <alignment horizontal="right" vertical="center" wrapText="1"/>
    </xf>
    <xf numFmtId="10" fontId="3" fillId="0" borderId="119" xfId="20962" applyNumberFormat="1" applyFont="1" applyFill="1" applyBorder="1" applyAlignment="1">
      <alignment horizontal="left" vertical="center" wrapText="1"/>
    </xf>
    <xf numFmtId="10" fontId="4" fillId="36" borderId="119" xfId="0" applyNumberFormat="1" applyFont="1" applyFill="1" applyBorder="1" applyAlignment="1">
      <alignment horizontal="left" vertical="center" wrapText="1"/>
    </xf>
    <xf numFmtId="43" fontId="4" fillId="36" borderId="88" xfId="7" applyFont="1" applyFill="1" applyBorder="1" applyAlignment="1">
      <alignment horizontal="right" vertical="center" wrapText="1"/>
    </xf>
    <xf numFmtId="10" fontId="100" fillId="0" borderId="119" xfId="20962" applyNumberFormat="1" applyFont="1" applyFill="1" applyBorder="1" applyAlignment="1">
      <alignment horizontal="left" vertical="center" wrapText="1"/>
    </xf>
    <xf numFmtId="164" fontId="100" fillId="0" borderId="88" xfId="7" applyNumberFormat="1" applyFont="1" applyFill="1" applyBorder="1" applyAlignment="1">
      <alignment horizontal="right" vertical="center" wrapText="1"/>
    </xf>
    <xf numFmtId="10" fontId="4" fillId="36" borderId="119" xfId="20962" applyNumberFormat="1" applyFont="1" applyFill="1" applyBorder="1" applyAlignment="1">
      <alignment horizontal="left" vertical="center" wrapText="1"/>
    </xf>
    <xf numFmtId="164" fontId="96" fillId="0" borderId="26" xfId="7" applyNumberFormat="1" applyFont="1" applyFill="1" applyBorder="1" applyAlignment="1" applyProtection="1">
      <alignment horizontal="right" vertical="center"/>
    </xf>
    <xf numFmtId="164" fontId="125" fillId="0" borderId="34" xfId="7" applyNumberFormat="1" applyFont="1" applyBorder="1" applyAlignment="1">
      <alignment vertical="center"/>
    </xf>
    <xf numFmtId="164" fontId="125" fillId="0" borderId="13" xfId="7" applyNumberFormat="1" applyFont="1" applyBorder="1" applyAlignment="1">
      <alignment vertical="center"/>
    </xf>
    <xf numFmtId="164" fontId="126" fillId="0" borderId="13" xfId="7" applyNumberFormat="1" applyFont="1" applyBorder="1" applyAlignment="1">
      <alignment vertical="center"/>
    </xf>
    <xf numFmtId="164" fontId="125" fillId="36" borderId="13" xfId="7" applyNumberFormat="1" applyFont="1" applyFill="1" applyBorder="1" applyAlignment="1">
      <alignment vertical="center"/>
    </xf>
    <xf numFmtId="164" fontId="125" fillId="0" borderId="14" xfId="7" applyNumberFormat="1" applyFont="1" applyBorder="1" applyAlignment="1">
      <alignment vertical="center"/>
    </xf>
    <xf numFmtId="193" fontId="127" fillId="36" borderId="16" xfId="0" applyNumberFormat="1" applyFont="1" applyFill="1" applyBorder="1" applyAlignment="1">
      <alignment vertical="center"/>
    </xf>
    <xf numFmtId="164" fontId="125" fillId="0" borderId="17" xfId="7" applyNumberFormat="1" applyFont="1" applyBorder="1" applyAlignment="1">
      <alignment vertical="center"/>
    </xf>
    <xf numFmtId="164" fontId="126" fillId="0" borderId="14" xfId="7" applyNumberFormat="1" applyFont="1" applyBorder="1" applyAlignment="1">
      <alignment vertical="center"/>
    </xf>
    <xf numFmtId="193" fontId="127" fillId="36" borderId="62" xfId="0" applyNumberFormat="1" applyFont="1" applyFill="1" applyBorder="1" applyAlignment="1">
      <alignment vertical="center"/>
    </xf>
    <xf numFmtId="0" fontId="85" fillId="0" borderId="119" xfId="0" applyFont="1" applyBorder="1"/>
    <xf numFmtId="0" fontId="2" fillId="0" borderId="91" xfId="0" applyFont="1" applyBorder="1"/>
    <xf numFmtId="164" fontId="3" fillId="0" borderId="119" xfId="7" applyNumberFormat="1" applyFont="1" applyBorder="1" applyAlignment="1"/>
    <xf numFmtId="164" fontId="3" fillId="0" borderId="121" xfId="7" applyNumberFormat="1" applyFont="1" applyBorder="1" applyAlignment="1"/>
    <xf numFmtId="167" fontId="3" fillId="0" borderId="88" xfId="0" applyNumberFormat="1" applyFont="1" applyBorder="1"/>
    <xf numFmtId="164" fontId="3" fillId="36" borderId="26" xfId="7" applyNumberFormat="1" applyFont="1" applyFill="1" applyBorder="1"/>
    <xf numFmtId="164" fontId="3" fillId="0" borderId="21" xfId="7" applyNumberFormat="1" applyFont="1" applyBorder="1" applyAlignment="1"/>
    <xf numFmtId="164" fontId="3" fillId="0" borderId="88" xfId="7" applyNumberFormat="1" applyFont="1" applyBorder="1" applyAlignment="1"/>
    <xf numFmtId="164" fontId="3" fillId="0" borderId="91" xfId="7" applyNumberFormat="1" applyFont="1" applyBorder="1" applyAlignment="1">
      <alignment wrapText="1"/>
    </xf>
    <xf numFmtId="164" fontId="3" fillId="0" borderId="91" xfId="7" applyNumberFormat="1" applyFont="1" applyBorder="1" applyAlignment="1"/>
    <xf numFmtId="164" fontId="3" fillId="36" borderId="56" xfId="7" applyNumberFormat="1" applyFont="1" applyFill="1" applyBorder="1" applyAlignment="1"/>
    <xf numFmtId="164" fontId="3" fillId="36" borderId="24" xfId="7" applyNumberFormat="1" applyFont="1" applyFill="1" applyBorder="1"/>
    <xf numFmtId="164" fontId="3" fillId="36" borderId="25" xfId="7" applyNumberFormat="1" applyFont="1" applyFill="1" applyBorder="1"/>
    <xf numFmtId="164" fontId="3" fillId="36" borderId="57" xfId="7" applyNumberFormat="1" applyFont="1" applyFill="1" applyBorder="1"/>
    <xf numFmtId="164" fontId="3" fillId="0" borderId="119" xfId="7" applyNumberFormat="1" applyFont="1" applyBorder="1"/>
    <xf numFmtId="164" fontId="3" fillId="0" borderId="119" xfId="7" applyNumberFormat="1" applyFont="1" applyFill="1" applyBorder="1"/>
    <xf numFmtId="164" fontId="3" fillId="0" borderId="121" xfId="7" applyNumberFormat="1" applyFont="1" applyBorder="1"/>
    <xf numFmtId="9" fontId="3" fillId="0" borderId="88" xfId="20962" applyFont="1" applyBorder="1"/>
    <xf numFmtId="164" fontId="3" fillId="0" borderId="121" xfId="7" applyNumberFormat="1" applyFont="1" applyFill="1" applyBorder="1"/>
    <xf numFmtId="164" fontId="9" fillId="37" borderId="0" xfId="7" applyNumberFormat="1" applyFont="1" applyFill="1" applyBorder="1"/>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122"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1" xfId="7" applyNumberFormat="1" applyFont="1" applyFill="1" applyBorder="1" applyAlignment="1">
      <alignment vertical="center"/>
    </xf>
    <xf numFmtId="164" fontId="3" fillId="0" borderId="88" xfId="7" applyNumberFormat="1" applyFont="1" applyFill="1" applyBorder="1" applyAlignment="1">
      <alignment vertical="center"/>
    </xf>
    <xf numFmtId="0" fontId="3" fillId="3" borderId="122" xfId="0"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1" xfId="7" applyNumberFormat="1" applyFont="1" applyFill="1" applyBorder="1" applyAlignment="1">
      <alignment vertical="center"/>
    </xf>
    <xf numFmtId="164" fontId="3" fillId="0" borderId="96" xfId="7" applyNumberFormat="1" applyFont="1" applyFill="1" applyBorder="1" applyAlignment="1">
      <alignment vertical="center"/>
    </xf>
    <xf numFmtId="165" fontId="3" fillId="0" borderId="99" xfId="20962" applyNumberFormat="1" applyFont="1" applyFill="1" applyBorder="1" applyAlignment="1">
      <alignment vertical="center"/>
    </xf>
    <xf numFmtId="9" fontId="3" fillId="0" borderId="99" xfId="20962" applyFont="1" applyFill="1" applyBorder="1" applyAlignment="1">
      <alignment vertical="center"/>
    </xf>
    <xf numFmtId="9" fontId="3" fillId="0" borderId="100" xfId="20962" applyFont="1" applyFill="1" applyBorder="1" applyAlignment="1">
      <alignment vertical="center"/>
    </xf>
    <xf numFmtId="193" fontId="94" fillId="36" borderId="119" xfId="5" applyNumberFormat="1" applyFont="1" applyFill="1" applyBorder="1" applyProtection="1">
      <protection locked="0"/>
    </xf>
    <xf numFmtId="0" fontId="94" fillId="3" borderId="119" xfId="5" applyFont="1" applyFill="1" applyBorder="1" applyProtection="1">
      <protection locked="0"/>
    </xf>
    <xf numFmtId="164" fontId="94" fillId="36" borderId="119" xfId="7" applyNumberFormat="1" applyFont="1" applyFill="1" applyBorder="1" applyProtection="1">
      <protection locked="0"/>
    </xf>
    <xf numFmtId="164" fontId="94" fillId="36" borderId="88" xfId="7" applyNumberFormat="1" applyFont="1" applyFill="1" applyBorder="1" applyProtection="1">
      <protection locked="0"/>
    </xf>
    <xf numFmtId="193" fontId="94" fillId="3" borderId="119" xfId="5" applyNumberFormat="1" applyFont="1" applyFill="1" applyBorder="1" applyProtection="1">
      <protection locked="0"/>
    </xf>
    <xf numFmtId="165" fontId="94" fillId="3" borderId="119" xfId="8" applyNumberFormat="1" applyFont="1" applyFill="1" applyBorder="1" applyAlignment="1" applyProtection="1">
      <alignment horizontal="right" wrapText="1"/>
      <protection locked="0"/>
    </xf>
    <xf numFmtId="164" fontId="94" fillId="3" borderId="119" xfId="7" applyNumberFormat="1" applyFont="1" applyFill="1" applyBorder="1" applyProtection="1">
      <protection locked="0"/>
    </xf>
    <xf numFmtId="165" fontId="94" fillId="4" borderId="119" xfId="8" applyNumberFormat="1" applyFont="1" applyFill="1" applyBorder="1" applyAlignment="1" applyProtection="1">
      <alignment horizontal="right" wrapText="1"/>
      <protection locked="0"/>
    </xf>
    <xf numFmtId="193" fontId="94" fillId="0" borderId="119" xfId="1" applyNumberFormat="1" applyFont="1" applyFill="1" applyBorder="1" applyProtection="1">
      <protection locked="0"/>
    </xf>
    <xf numFmtId="164" fontId="128" fillId="36" borderId="25" xfId="7" applyNumberFormat="1" applyFont="1" applyFill="1" applyBorder="1" applyAlignment="1" applyProtection="1">
      <protection locked="0"/>
    </xf>
    <xf numFmtId="164" fontId="94" fillId="3" borderId="25" xfId="7" applyNumberFormat="1" applyFont="1" applyFill="1" applyBorder="1" applyProtection="1">
      <protection locked="0"/>
    </xf>
    <xf numFmtId="164" fontId="128" fillId="36" borderId="26" xfId="7" applyNumberFormat="1" applyFont="1" applyFill="1" applyBorder="1" applyAlignment="1" applyProtection="1">
      <protection locked="0"/>
    </xf>
    <xf numFmtId="164" fontId="105" fillId="0" borderId="119" xfId="948" applyNumberFormat="1" applyFont="1" applyFill="1" applyBorder="1" applyAlignment="1" applyProtection="1">
      <alignment horizontal="right" vertical="center"/>
      <protection locked="0"/>
    </xf>
    <xf numFmtId="164" fontId="105" fillId="0" borderId="119" xfId="7" applyNumberFormat="1" applyFont="1" applyFill="1" applyBorder="1" applyAlignment="1" applyProtection="1">
      <alignment horizontal="right" vertical="center"/>
      <protection locked="0"/>
    </xf>
    <xf numFmtId="164" fontId="105" fillId="78" borderId="119" xfId="948" applyNumberFormat="1" applyFont="1" applyFill="1" applyBorder="1" applyAlignment="1" applyProtection="1">
      <alignment horizontal="right" vertical="center"/>
    </xf>
    <xf numFmtId="164" fontId="45" fillId="77" borderId="123" xfId="948" applyNumberFormat="1" applyFont="1" applyFill="1" applyBorder="1" applyAlignment="1" applyProtection="1">
      <alignment horizontal="right" vertical="center"/>
      <protection locked="0"/>
    </xf>
    <xf numFmtId="164" fontId="104" fillId="77" borderId="123" xfId="948" applyNumberFormat="1" applyFont="1" applyFill="1" applyBorder="1" applyAlignment="1" applyProtection="1">
      <alignment horizontal="right" vertical="center"/>
      <protection locked="0"/>
    </xf>
    <xf numFmtId="164" fontId="105" fillId="3" borderId="119" xfId="7" applyNumberFormat="1" applyFont="1" applyFill="1" applyBorder="1" applyAlignment="1" applyProtection="1">
      <alignment horizontal="right" vertical="center"/>
      <protection locked="0"/>
    </xf>
    <xf numFmtId="10" fontId="105" fillId="0" borderId="119" xfId="20626" applyNumberFormat="1" applyFont="1" applyFill="1" applyBorder="1" applyAlignment="1" applyProtection="1">
      <alignment horizontal="right" vertical="center"/>
      <protection locked="0"/>
    </xf>
    <xf numFmtId="169" fontId="9" fillId="37" borderId="119" xfId="20" applyBorder="1"/>
    <xf numFmtId="164" fontId="3" fillId="0" borderId="119" xfId="7" applyNumberFormat="1" applyFont="1" applyBorder="1" applyAlignment="1">
      <alignment vertical="center"/>
    </xf>
    <xf numFmtId="164" fontId="116" fillId="0" borderId="119" xfId="7" applyNumberFormat="1" applyFont="1" applyBorder="1"/>
    <xf numFmtId="164" fontId="113" fillId="0" borderId="119" xfId="7" applyNumberFormat="1" applyFont="1" applyBorder="1"/>
    <xf numFmtId="164" fontId="113" fillId="0" borderId="119" xfId="7" applyNumberFormat="1" applyFont="1" applyFill="1" applyBorder="1"/>
    <xf numFmtId="164" fontId="112" fillId="36" borderId="119" xfId="7" applyNumberFormat="1" applyFont="1" applyFill="1" applyBorder="1"/>
    <xf numFmtId="164" fontId="113" fillId="0" borderId="119" xfId="7" applyNumberFormat="1" applyFont="1" applyBorder="1" applyAlignment="1">
      <alignment horizontal="left" indent="1"/>
    </xf>
    <xf numFmtId="0" fontId="113" fillId="80" borderId="119" xfId="0" applyFont="1" applyFill="1" applyBorder="1"/>
    <xf numFmtId="164" fontId="116" fillId="0" borderId="7" xfId="7" applyNumberFormat="1" applyFont="1" applyBorder="1"/>
    <xf numFmtId="164" fontId="113" fillId="0" borderId="119" xfId="7" applyNumberFormat="1" applyFont="1" applyBorder="1" applyAlignment="1">
      <alignment horizontal="left" indent="2"/>
    </xf>
    <xf numFmtId="164" fontId="113" fillId="0" borderId="119" xfId="7" applyNumberFormat="1" applyFont="1" applyFill="1" applyBorder="1" applyAlignment="1">
      <alignment horizontal="left" indent="3"/>
    </xf>
    <xf numFmtId="164" fontId="113" fillId="0" borderId="119" xfId="7" applyNumberFormat="1" applyFont="1" applyFill="1" applyBorder="1" applyAlignment="1">
      <alignment horizontal="left" indent="1"/>
    </xf>
    <xf numFmtId="0" fontId="113" fillId="81" borderId="119" xfId="0" applyFont="1" applyFill="1" applyBorder="1"/>
    <xf numFmtId="164" fontId="113" fillId="0" borderId="119" xfId="7" applyNumberFormat="1" applyFont="1" applyFill="1" applyBorder="1" applyAlignment="1">
      <alignment horizontal="left" vertical="top" wrapText="1" indent="2"/>
    </xf>
    <xf numFmtId="164" fontId="113" fillId="0" borderId="119" xfId="7" applyNumberFormat="1" applyFont="1" applyFill="1" applyBorder="1" applyAlignment="1">
      <alignment horizontal="left" wrapText="1" indent="3"/>
    </xf>
    <xf numFmtId="164" fontId="113" fillId="0" borderId="119" xfId="7" applyNumberFormat="1" applyFont="1" applyFill="1" applyBorder="1" applyAlignment="1">
      <alignment horizontal="left" wrapText="1" indent="2"/>
    </xf>
    <xf numFmtId="164" fontId="113" fillId="0" borderId="119" xfId="7" applyNumberFormat="1" applyFont="1" applyFill="1" applyBorder="1" applyAlignment="1">
      <alignment horizontal="left" wrapText="1" indent="1"/>
    </xf>
    <xf numFmtId="164" fontId="94" fillId="0" borderId="119" xfId="0" applyNumberFormat="1" applyFont="1" applyBorder="1" applyAlignment="1">
      <alignment horizontal="left" vertical="center" wrapText="1"/>
    </xf>
    <xf numFmtId="164" fontId="125" fillId="0" borderId="119" xfId="7" applyNumberFormat="1" applyFont="1" applyFill="1" applyBorder="1"/>
    <xf numFmtId="164" fontId="125" fillId="0" borderId="119" xfId="0" applyNumberFormat="1" applyFont="1" applyBorder="1"/>
    <xf numFmtId="164" fontId="112" fillId="0" borderId="119" xfId="7" applyNumberFormat="1" applyFont="1" applyFill="1" applyBorder="1" applyAlignment="1">
      <alignment horizontal="left" vertical="center" wrapText="1"/>
    </xf>
    <xf numFmtId="164" fontId="113" fillId="0" borderId="119" xfId="7" applyNumberFormat="1" applyFont="1" applyBorder="1" applyAlignment="1">
      <alignment horizontal="center" vertical="center" wrapText="1"/>
    </xf>
    <xf numFmtId="164" fontId="113" fillId="0" borderId="119" xfId="7" applyNumberFormat="1" applyFont="1" applyBorder="1" applyAlignment="1">
      <alignment horizontal="center" vertical="center"/>
    </xf>
    <xf numFmtId="164" fontId="115" fillId="0" borderId="119" xfId="7" applyNumberFormat="1" applyFont="1" applyFill="1" applyBorder="1" applyAlignment="1">
      <alignment horizontal="left" vertical="center" wrapText="1"/>
    </xf>
    <xf numFmtId="164" fontId="116" fillId="0" borderId="119" xfId="7" applyNumberFormat="1" applyFont="1" applyBorder="1" applyAlignment="1">
      <alignment horizontal="center" vertical="center"/>
    </xf>
    <xf numFmtId="164" fontId="116" fillId="0" borderId="119" xfId="7" applyNumberFormat="1" applyFont="1" applyFill="1" applyBorder="1"/>
    <xf numFmtId="43" fontId="96" fillId="0" borderId="0" xfId="7" applyFont="1"/>
    <xf numFmtId="14" fontId="113" fillId="0" borderId="0" xfId="0" applyNumberFormat="1" applyFont="1"/>
    <xf numFmtId="0" fontId="0" fillId="0" borderId="7" xfId="0" applyBorder="1"/>
    <xf numFmtId="0" fontId="121" fillId="0" borderId="119" xfId="0" applyFont="1" applyBorder="1" applyAlignment="1">
      <alignment horizontal="left" indent="2"/>
    </xf>
    <xf numFmtId="0" fontId="130" fillId="0" borderId="127" xfId="0" applyFont="1" applyBorder="1" applyAlignment="1">
      <alignment vertical="center" wrapText="1" readingOrder="1"/>
    </xf>
    <xf numFmtId="164" fontId="121" fillId="0" borderId="119" xfId="7" applyNumberFormat="1" applyFont="1" applyBorder="1"/>
    <xf numFmtId="165" fontId="121" fillId="0" borderId="119" xfId="20962" applyNumberFormat="1" applyFont="1" applyBorder="1"/>
    <xf numFmtId="0" fontId="130" fillId="0" borderId="128" xfId="0" applyFont="1" applyBorder="1" applyAlignment="1">
      <alignment vertical="center" wrapText="1" readingOrder="1"/>
    </xf>
    <xf numFmtId="0" fontId="121" fillId="0" borderId="119" xfId="0" applyFont="1" applyBorder="1" applyAlignment="1">
      <alignment horizontal="left" indent="3"/>
    </xf>
    <xf numFmtId="0" fontId="130" fillId="0" borderId="128" xfId="0" applyFont="1" applyBorder="1" applyAlignment="1">
      <alignment horizontal="left" vertical="center" wrapText="1" indent="1" readingOrder="1"/>
    </xf>
    <xf numFmtId="0" fontId="121" fillId="0" borderId="120" xfId="0" applyFont="1" applyBorder="1" applyAlignment="1">
      <alignment horizontal="left" indent="2"/>
    </xf>
    <xf numFmtId="0" fontId="130" fillId="0" borderId="129" xfId="0" applyFont="1" applyBorder="1" applyAlignment="1">
      <alignment vertical="center" wrapText="1" readingOrder="1"/>
    </xf>
    <xf numFmtId="0" fontId="131" fillId="0" borderId="119" xfId="0" applyFont="1" applyBorder="1" applyAlignment="1">
      <alignment vertical="center" wrapText="1" readingOrder="1"/>
    </xf>
    <xf numFmtId="164" fontId="132" fillId="0" borderId="119" xfId="7" applyNumberFormat="1" applyFont="1" applyBorder="1"/>
    <xf numFmtId="165" fontId="132" fillId="0" borderId="119" xfId="20962" applyNumberFormat="1" applyFont="1" applyBorder="1"/>
    <xf numFmtId="0" fontId="113" fillId="0" borderId="111" xfId="0" applyFont="1" applyBorder="1" applyAlignment="1">
      <alignment horizontal="center" vertical="center" wrapText="1"/>
    </xf>
    <xf numFmtId="167" fontId="134" fillId="76" borderId="65" xfId="0" applyNumberFormat="1" applyFont="1" applyFill="1" applyBorder="1" applyAlignment="1">
      <alignment horizontal="center"/>
    </xf>
    <xf numFmtId="167" fontId="125" fillId="0" borderId="65" xfId="0" applyNumberFormat="1" applyFont="1" applyBorder="1" applyAlignment="1">
      <alignment horizontal="center"/>
    </xf>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09" xfId="0" applyFont="1" applyBorder="1" applyAlignment="1">
      <alignment horizontal="left" vertical="center" wrapText="1"/>
    </xf>
    <xf numFmtId="0" fontId="115" fillId="0" borderId="110" xfId="0" applyFont="1" applyBorder="1" applyAlignment="1">
      <alignment horizontal="left" vertical="center" wrapText="1"/>
    </xf>
    <xf numFmtId="0" fontId="115" fillId="0" borderId="114" xfId="0" applyFont="1" applyBorder="1" applyAlignment="1">
      <alignment horizontal="left" vertical="center" wrapText="1"/>
    </xf>
    <xf numFmtId="0" fontId="115" fillId="0" borderId="115" xfId="0" applyFont="1" applyBorder="1" applyAlignment="1">
      <alignment horizontal="left" vertical="center" wrapText="1"/>
    </xf>
    <xf numFmtId="0" fontId="115" fillId="0" borderId="117" xfId="0" applyFont="1" applyBorder="1" applyAlignment="1">
      <alignment horizontal="left" vertical="center" wrapText="1"/>
    </xf>
    <xf numFmtId="0" fontId="115" fillId="0" borderId="118" xfId="0" applyFont="1" applyBorder="1" applyAlignment="1">
      <alignment horizontal="left"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113" xfId="0" applyFont="1" applyBorder="1" applyAlignment="1">
      <alignment horizontal="center" vertical="center" wrapText="1"/>
    </xf>
    <xf numFmtId="0" fontId="116" fillId="0" borderId="92" xfId="0" applyFont="1" applyBorder="1" applyAlignment="1">
      <alignment horizontal="center" vertical="center" wrapText="1"/>
    </xf>
    <xf numFmtId="0" fontId="116" fillId="0" borderId="116" xfId="0" applyFont="1" applyBorder="1" applyAlignment="1">
      <alignment horizontal="center" vertical="center" wrapText="1"/>
    </xf>
    <xf numFmtId="0" fontId="116" fillId="0" borderId="82" xfId="0" applyFont="1" applyBorder="1" applyAlignment="1">
      <alignment horizontal="center" vertical="center" wrapText="1"/>
    </xf>
    <xf numFmtId="0" fontId="113" fillId="0" borderId="12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19" xfId="0" applyFont="1" applyBorder="1" applyAlignment="1">
      <alignment horizontal="center" vertical="center" wrapText="1"/>
    </xf>
    <xf numFmtId="0" fontId="120" fillId="0" borderId="119" xfId="0" applyFont="1" applyBorder="1" applyAlignment="1">
      <alignment horizontal="center" vertical="center"/>
    </xf>
    <xf numFmtId="0" fontId="120" fillId="0" borderId="111" xfId="0" applyFont="1" applyBorder="1" applyAlignment="1">
      <alignment horizontal="center" vertical="center"/>
    </xf>
    <xf numFmtId="0" fontId="120" fillId="0" borderId="113" xfId="0" applyFont="1" applyBorder="1" applyAlignment="1">
      <alignment horizontal="center" vertical="center"/>
    </xf>
    <xf numFmtId="0" fontId="120" fillId="0" borderId="92" xfId="0" applyFont="1" applyBorder="1" applyAlignment="1">
      <alignment horizontal="center" vertical="center"/>
    </xf>
    <xf numFmtId="0" fontId="120" fillId="0" borderId="82" xfId="0" applyFont="1" applyBorder="1" applyAlignment="1">
      <alignment horizontal="center" vertical="center"/>
    </xf>
    <xf numFmtId="0" fontId="116" fillId="0" borderId="119" xfId="0" applyFont="1" applyBorder="1" applyAlignment="1">
      <alignment horizontal="center" vertical="center" wrapText="1"/>
    </xf>
    <xf numFmtId="0" fontId="116" fillId="0" borderId="77"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3" xfId="0" applyFont="1" applyBorder="1" applyAlignment="1">
      <alignment horizontal="center" vertical="center" wrapText="1"/>
    </xf>
    <xf numFmtId="0" fontId="113" fillId="0" borderId="77" xfId="0" applyFont="1" applyBorder="1" applyAlignment="1">
      <alignment horizontal="center" vertical="center" wrapText="1"/>
    </xf>
    <xf numFmtId="0" fontId="113" fillId="0" borderId="0" xfId="0" applyFont="1" applyAlignment="1">
      <alignment horizontal="center" vertical="center" wrapText="1"/>
    </xf>
    <xf numFmtId="0" fontId="113" fillId="0" borderId="75" xfId="0" applyFont="1" applyBorder="1" applyAlignment="1">
      <alignment horizontal="center" vertical="center" wrapText="1"/>
    </xf>
    <xf numFmtId="0" fontId="113" fillId="0" borderId="82" xfId="0" applyFont="1" applyBorder="1" applyAlignment="1">
      <alignment horizontal="center" vertical="center" wrapText="1"/>
    </xf>
    <xf numFmtId="0" fontId="116" fillId="0" borderId="111" xfId="0" applyFont="1" applyBorder="1" applyAlignment="1">
      <alignment horizontal="center" vertical="top" wrapText="1"/>
    </xf>
    <xf numFmtId="0" fontId="116" fillId="0" borderId="113" xfId="0" applyFont="1" applyBorder="1" applyAlignment="1">
      <alignment horizontal="center" vertical="top" wrapText="1"/>
    </xf>
    <xf numFmtId="0" fontId="116" fillId="0" borderId="77" xfId="0" applyFont="1" applyBorder="1" applyAlignment="1">
      <alignment horizontal="center" vertical="top" wrapText="1"/>
    </xf>
    <xf numFmtId="0" fontId="116" fillId="0" borderId="75" xfId="0" applyFont="1" applyBorder="1" applyAlignment="1">
      <alignment horizontal="center" vertical="top" wrapText="1"/>
    </xf>
    <xf numFmtId="0" fontId="116" fillId="0" borderId="92" xfId="0" applyFont="1" applyBorder="1" applyAlignment="1">
      <alignment horizontal="center" vertical="top" wrapText="1"/>
    </xf>
    <xf numFmtId="0" fontId="116" fillId="0" borderId="82" xfId="0" applyFont="1" applyBorder="1" applyAlignment="1">
      <alignment horizontal="center" vertical="top" wrapText="1"/>
    </xf>
    <xf numFmtId="0" fontId="113" fillId="0" borderId="0" xfId="0" applyFont="1" applyAlignment="1">
      <alignment horizontal="center" vertical="center"/>
    </xf>
    <xf numFmtId="0" fontId="113" fillId="0" borderId="75" xfId="0" applyFont="1" applyBorder="1" applyAlignment="1">
      <alignment horizontal="center" vertical="center"/>
    </xf>
    <xf numFmtId="0" fontId="113" fillId="0" borderId="77" xfId="0" applyFont="1" applyBorder="1" applyAlignment="1">
      <alignment horizontal="center" vertical="center"/>
    </xf>
    <xf numFmtId="0" fontId="113" fillId="0" borderId="121" xfId="0" applyFont="1" applyBorder="1" applyAlignment="1">
      <alignment horizontal="center" vertical="center"/>
    </xf>
    <xf numFmtId="0" fontId="113" fillId="0" borderId="122" xfId="0" applyFont="1" applyBorder="1" applyAlignment="1">
      <alignment horizontal="center" vertical="center"/>
    </xf>
    <xf numFmtId="0" fontId="113" fillId="0" borderId="123" xfId="0" applyFont="1" applyBorder="1" applyAlignment="1">
      <alignment horizontal="center" vertical="center"/>
    </xf>
    <xf numFmtId="0" fontId="113" fillId="0" borderId="111" xfId="0" applyFont="1" applyBorder="1" applyAlignment="1">
      <alignment horizontal="center" vertical="top" wrapText="1"/>
    </xf>
    <xf numFmtId="0" fontId="113" fillId="0" borderId="112" xfId="0" applyFont="1" applyBorder="1" applyAlignment="1">
      <alignment horizontal="center" vertical="top" wrapText="1"/>
    </xf>
    <xf numFmtId="0" fontId="113" fillId="0" borderId="113" xfId="0" applyFont="1" applyBorder="1" applyAlignment="1">
      <alignment horizontal="center" vertical="top" wrapText="1"/>
    </xf>
    <xf numFmtId="0" fontId="113" fillId="0" borderId="122" xfId="0" applyFont="1" applyBorder="1" applyAlignment="1">
      <alignment horizontal="center" vertical="top" wrapText="1"/>
    </xf>
    <xf numFmtId="0" fontId="113" fillId="0" borderId="123" xfId="0" applyFont="1" applyBorder="1" applyAlignment="1">
      <alignment horizontal="center" vertical="top" wrapText="1"/>
    </xf>
    <xf numFmtId="0" fontId="113" fillId="0" borderId="120" xfId="0" applyFont="1" applyBorder="1" applyAlignment="1">
      <alignment horizontal="center" vertical="top" wrapText="1"/>
    </xf>
    <xf numFmtId="0" fontId="113" fillId="0" borderId="7" xfId="0" applyFont="1" applyBorder="1" applyAlignment="1">
      <alignment horizontal="center" vertical="top" wrapText="1"/>
    </xf>
    <xf numFmtId="0" fontId="115" fillId="0" borderId="124" xfId="0" applyFont="1" applyBorder="1" applyAlignment="1">
      <alignment horizontal="left" vertical="top" wrapText="1"/>
    </xf>
    <xf numFmtId="0" fontId="115" fillId="0" borderId="125" xfId="0" applyFont="1" applyBorder="1" applyAlignment="1">
      <alignment horizontal="left" vertical="top" wrapText="1"/>
    </xf>
    <xf numFmtId="0" fontId="133" fillId="0" borderId="119" xfId="0" applyFont="1" applyBorder="1" applyAlignment="1">
      <alignment horizontal="center" vertical="center" wrapText="1"/>
    </xf>
    <xf numFmtId="0" fontId="129" fillId="0" borderId="119" xfId="0" applyFont="1" applyBorder="1" applyAlignment="1">
      <alignment horizontal="center" vertical="center"/>
    </xf>
    <xf numFmtId="0" fontId="121" fillId="0" borderId="120" xfId="0" applyFont="1" applyBorder="1" applyAlignment="1">
      <alignment horizontal="center" vertical="center" wrapText="1"/>
    </xf>
    <xf numFmtId="0" fontId="121" fillId="0" borderId="111"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36"/>
      <c r="B1" s="167" t="s">
        <v>344</v>
      </c>
      <c r="C1" s="136"/>
    </row>
    <row r="2" spans="1:3">
      <c r="A2" s="168">
        <v>1</v>
      </c>
      <c r="B2" s="284" t="s">
        <v>345</v>
      </c>
      <c r="C2" s="526" t="s">
        <v>716</v>
      </c>
    </row>
    <row r="3" spans="1:3">
      <c r="A3" s="168">
        <v>2</v>
      </c>
      <c r="B3" s="285" t="s">
        <v>341</v>
      </c>
      <c r="C3" s="526" t="s">
        <v>717</v>
      </c>
    </row>
    <row r="4" spans="1:3">
      <c r="A4" s="168">
        <v>3</v>
      </c>
      <c r="B4" s="286" t="s">
        <v>346</v>
      </c>
      <c r="C4" s="526" t="s">
        <v>718</v>
      </c>
    </row>
    <row r="5" spans="1:3">
      <c r="A5" s="169">
        <v>4</v>
      </c>
      <c r="B5" s="287" t="s">
        <v>342</v>
      </c>
      <c r="C5" s="403" t="s">
        <v>711</v>
      </c>
    </row>
    <row r="6" spans="1:3" s="170" customFormat="1" ht="45.75" customHeight="1">
      <c r="A6" s="627" t="s">
        <v>420</v>
      </c>
      <c r="B6" s="628"/>
      <c r="C6" s="628"/>
    </row>
    <row r="7" spans="1:3" ht="15">
      <c r="A7" s="171" t="s">
        <v>29</v>
      </c>
      <c r="B7" s="167" t="s">
        <v>343</v>
      </c>
    </row>
    <row r="8" spans="1:3">
      <c r="A8" s="136">
        <v>1</v>
      </c>
      <c r="B8" s="206" t="s">
        <v>20</v>
      </c>
    </row>
    <row r="9" spans="1:3">
      <c r="A9" s="136">
        <v>2</v>
      </c>
      <c r="B9" s="207" t="s">
        <v>21</v>
      </c>
    </row>
    <row r="10" spans="1:3">
      <c r="A10" s="136">
        <v>3</v>
      </c>
      <c r="B10" s="207" t="s">
        <v>22</v>
      </c>
    </row>
    <row r="11" spans="1:3">
      <c r="A11" s="136">
        <v>4</v>
      </c>
      <c r="B11" s="207" t="s">
        <v>23</v>
      </c>
    </row>
    <row r="12" spans="1:3">
      <c r="A12" s="136">
        <v>5</v>
      </c>
      <c r="B12" s="207" t="s">
        <v>24</v>
      </c>
    </row>
    <row r="13" spans="1:3">
      <c r="A13" s="136">
        <v>6</v>
      </c>
      <c r="B13" s="208" t="s">
        <v>353</v>
      </c>
    </row>
    <row r="14" spans="1:3">
      <c r="A14" s="136">
        <v>7</v>
      </c>
      <c r="B14" s="207" t="s">
        <v>347</v>
      </c>
    </row>
    <row r="15" spans="1:3">
      <c r="A15" s="136">
        <v>8</v>
      </c>
      <c r="B15" s="207" t="s">
        <v>348</v>
      </c>
    </row>
    <row r="16" spans="1:3">
      <c r="A16" s="136">
        <v>9</v>
      </c>
      <c r="B16" s="207" t="s">
        <v>25</v>
      </c>
    </row>
    <row r="17" spans="1:2">
      <c r="A17" s="283" t="s">
        <v>419</v>
      </c>
      <c r="B17" s="282" t="s">
        <v>406</v>
      </c>
    </row>
    <row r="18" spans="1:2">
      <c r="A18" s="136">
        <v>10</v>
      </c>
      <c r="B18" s="207" t="s">
        <v>26</v>
      </c>
    </row>
    <row r="19" spans="1:2">
      <c r="A19" s="136">
        <v>11</v>
      </c>
      <c r="B19" s="208" t="s">
        <v>349</v>
      </c>
    </row>
    <row r="20" spans="1:2">
      <c r="A20" s="136">
        <v>12</v>
      </c>
      <c r="B20" s="208" t="s">
        <v>27</v>
      </c>
    </row>
    <row r="21" spans="1:2">
      <c r="A21" s="323">
        <v>13</v>
      </c>
      <c r="B21" s="324" t="s">
        <v>350</v>
      </c>
    </row>
    <row r="22" spans="1:2">
      <c r="A22" s="323">
        <v>14</v>
      </c>
      <c r="B22" s="325" t="s">
        <v>377</v>
      </c>
    </row>
    <row r="23" spans="1:2">
      <c r="A23" s="323">
        <v>15</v>
      </c>
      <c r="B23" s="326" t="s">
        <v>28</v>
      </c>
    </row>
    <row r="24" spans="1:2">
      <c r="A24" s="323">
        <v>15.1</v>
      </c>
      <c r="B24" s="327" t="s">
        <v>433</v>
      </c>
    </row>
    <row r="25" spans="1:2">
      <c r="A25" s="323">
        <v>16</v>
      </c>
      <c r="B25" s="327" t="s">
        <v>497</v>
      </c>
    </row>
    <row r="26" spans="1:2">
      <c r="A26" s="323">
        <v>17</v>
      </c>
      <c r="B26" s="327" t="s">
        <v>538</v>
      </c>
    </row>
    <row r="27" spans="1:2">
      <c r="A27" s="323">
        <v>18</v>
      </c>
      <c r="B27" s="327" t="s">
        <v>708</v>
      </c>
    </row>
    <row r="28" spans="1:2">
      <c r="A28" s="323">
        <v>19</v>
      </c>
      <c r="B28" s="327" t="s">
        <v>709</v>
      </c>
    </row>
    <row r="29" spans="1:2">
      <c r="A29" s="323">
        <v>20</v>
      </c>
      <c r="B29" s="403" t="s">
        <v>539</v>
      </c>
    </row>
    <row r="30" spans="1:2">
      <c r="A30" s="323">
        <v>21</v>
      </c>
      <c r="B30" s="327" t="s">
        <v>705</v>
      </c>
    </row>
    <row r="31" spans="1:2">
      <c r="A31" s="323">
        <v>22</v>
      </c>
      <c r="B31" s="327" t="s">
        <v>540</v>
      </c>
    </row>
    <row r="32" spans="1:2">
      <c r="A32" s="323">
        <v>23</v>
      </c>
      <c r="B32" s="327" t="s">
        <v>541</v>
      </c>
    </row>
    <row r="33" spans="1:2">
      <c r="A33" s="323">
        <v>24</v>
      </c>
      <c r="B33" s="327" t="s">
        <v>542</v>
      </c>
    </row>
    <row r="34" spans="1:2">
      <c r="A34" s="323">
        <v>25</v>
      </c>
      <c r="B34" s="327" t="s">
        <v>543</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Terabank</v>
      </c>
    </row>
    <row r="2" spans="1:3" s="2" customFormat="1" ht="15.75" customHeight="1">
      <c r="A2" s="2" t="s">
        <v>31</v>
      </c>
      <c r="B2" s="339">
        <f>'1. key ratios '!B2</f>
        <v>44742</v>
      </c>
    </row>
    <row r="3" spans="1:3" s="2" customFormat="1" ht="15.75" customHeight="1"/>
    <row r="4" spans="1:3" ht="13.5" thickBot="1">
      <c r="A4" s="4" t="s">
        <v>246</v>
      </c>
      <c r="B4" s="124" t="s">
        <v>245</v>
      </c>
    </row>
    <row r="5" spans="1:3">
      <c r="A5" s="77" t="s">
        <v>6</v>
      </c>
      <c r="B5" s="78"/>
      <c r="C5" s="79" t="s">
        <v>73</v>
      </c>
    </row>
    <row r="6" spans="1:3">
      <c r="A6" s="80">
        <v>1</v>
      </c>
      <c r="B6" s="81" t="s">
        <v>244</v>
      </c>
      <c r="C6" s="502">
        <f>SUM(C7:C11)</f>
        <v>170832384.98999986</v>
      </c>
    </row>
    <row r="7" spans="1:3">
      <c r="A7" s="80">
        <v>2</v>
      </c>
      <c r="B7" s="82" t="s">
        <v>243</v>
      </c>
      <c r="C7" s="503">
        <v>121372000.00000001</v>
      </c>
    </row>
    <row r="8" spans="1:3">
      <c r="A8" s="80">
        <v>3</v>
      </c>
      <c r="B8" s="83" t="s">
        <v>242</v>
      </c>
      <c r="C8" s="503">
        <v>0</v>
      </c>
    </row>
    <row r="9" spans="1:3">
      <c r="A9" s="80">
        <v>4</v>
      </c>
      <c r="B9" s="83" t="s">
        <v>241</v>
      </c>
      <c r="C9" s="503">
        <v>0</v>
      </c>
    </row>
    <row r="10" spans="1:3">
      <c r="A10" s="80">
        <v>5</v>
      </c>
      <c r="B10" s="83" t="s">
        <v>240</v>
      </c>
      <c r="C10" s="503">
        <v>0</v>
      </c>
    </row>
    <row r="11" spans="1:3">
      <c r="A11" s="80">
        <v>6</v>
      </c>
      <c r="B11" s="84" t="s">
        <v>239</v>
      </c>
      <c r="C11" s="503">
        <v>49460384.989999846</v>
      </c>
    </row>
    <row r="12" spans="1:3" s="55" customFormat="1">
      <c r="A12" s="80">
        <v>7</v>
      </c>
      <c r="B12" s="81" t="s">
        <v>238</v>
      </c>
      <c r="C12" s="504">
        <f>SUM(C13:C27)</f>
        <v>23650896</v>
      </c>
    </row>
    <row r="13" spans="1:3" s="55" customFormat="1">
      <c r="A13" s="80">
        <v>8</v>
      </c>
      <c r="B13" s="85" t="s">
        <v>237</v>
      </c>
      <c r="C13" s="505">
        <v>0</v>
      </c>
    </row>
    <row r="14" spans="1:3" s="55" customFormat="1" ht="25.5">
      <c r="A14" s="80">
        <v>9</v>
      </c>
      <c r="B14" s="87" t="s">
        <v>236</v>
      </c>
      <c r="C14" s="505">
        <v>0</v>
      </c>
    </row>
    <row r="15" spans="1:3" s="55" customFormat="1">
      <c r="A15" s="80">
        <v>10</v>
      </c>
      <c r="B15" s="88" t="s">
        <v>235</v>
      </c>
      <c r="C15" s="505">
        <v>23650896</v>
      </c>
    </row>
    <row r="16" spans="1:3" s="55" customFormat="1">
      <c r="A16" s="80">
        <v>11</v>
      </c>
      <c r="B16" s="89" t="s">
        <v>234</v>
      </c>
      <c r="C16" s="505">
        <v>0</v>
      </c>
    </row>
    <row r="17" spans="1:3" s="55" customFormat="1">
      <c r="A17" s="80">
        <v>12</v>
      </c>
      <c r="B17" s="88" t="s">
        <v>233</v>
      </c>
      <c r="C17" s="505">
        <v>0</v>
      </c>
    </row>
    <row r="18" spans="1:3" s="55" customFormat="1">
      <c r="A18" s="80">
        <v>13</v>
      </c>
      <c r="B18" s="88" t="s">
        <v>232</v>
      </c>
      <c r="C18" s="505">
        <v>0</v>
      </c>
    </row>
    <row r="19" spans="1:3" s="55" customFormat="1">
      <c r="A19" s="80">
        <v>14</v>
      </c>
      <c r="B19" s="88" t="s">
        <v>231</v>
      </c>
      <c r="C19" s="505">
        <v>0</v>
      </c>
    </row>
    <row r="20" spans="1:3" s="55" customFormat="1">
      <c r="A20" s="80">
        <v>15</v>
      </c>
      <c r="B20" s="88" t="s">
        <v>230</v>
      </c>
      <c r="C20" s="505">
        <v>0</v>
      </c>
    </row>
    <row r="21" spans="1:3" s="55" customFormat="1" ht="25.5">
      <c r="A21" s="80">
        <v>16</v>
      </c>
      <c r="B21" s="87" t="s">
        <v>229</v>
      </c>
      <c r="C21" s="505">
        <v>0</v>
      </c>
    </row>
    <row r="22" spans="1:3" s="55" customFormat="1">
      <c r="A22" s="80">
        <v>17</v>
      </c>
      <c r="B22" s="90" t="s">
        <v>228</v>
      </c>
      <c r="C22" s="505">
        <v>0</v>
      </c>
    </row>
    <row r="23" spans="1:3" s="55" customFormat="1">
      <c r="A23" s="80">
        <v>18</v>
      </c>
      <c r="B23" s="87" t="s">
        <v>227</v>
      </c>
      <c r="C23" s="505">
        <v>0</v>
      </c>
    </row>
    <row r="24" spans="1:3" s="55" customFormat="1" ht="25.5">
      <c r="A24" s="80">
        <v>19</v>
      </c>
      <c r="B24" s="87" t="s">
        <v>204</v>
      </c>
      <c r="C24" s="505">
        <v>0</v>
      </c>
    </row>
    <row r="25" spans="1:3" s="55" customFormat="1">
      <c r="A25" s="80">
        <v>20</v>
      </c>
      <c r="B25" s="89" t="s">
        <v>226</v>
      </c>
      <c r="C25" s="505">
        <v>0</v>
      </c>
    </row>
    <row r="26" spans="1:3" s="55" customFormat="1">
      <c r="A26" s="80">
        <v>21</v>
      </c>
      <c r="B26" s="89" t="s">
        <v>225</v>
      </c>
      <c r="C26" s="505">
        <v>0</v>
      </c>
    </row>
    <row r="27" spans="1:3" s="55" customFormat="1">
      <c r="A27" s="80">
        <v>22</v>
      </c>
      <c r="B27" s="89" t="s">
        <v>224</v>
      </c>
      <c r="C27" s="505">
        <v>0</v>
      </c>
    </row>
    <row r="28" spans="1:3" s="55" customFormat="1">
      <c r="A28" s="80">
        <v>23</v>
      </c>
      <c r="B28" s="91" t="s">
        <v>223</v>
      </c>
      <c r="C28" s="504">
        <f>C6-C12</f>
        <v>147181488.98999986</v>
      </c>
    </row>
    <row r="29" spans="1:3" s="55" customFormat="1">
      <c r="A29" s="92"/>
      <c r="B29" s="93"/>
      <c r="C29" s="86"/>
    </row>
    <row r="30" spans="1:3" s="55" customFormat="1">
      <c r="A30" s="92">
        <v>24</v>
      </c>
      <c r="B30" s="91" t="s">
        <v>222</v>
      </c>
      <c r="C30" s="504">
        <f>C31+C34</f>
        <v>0</v>
      </c>
    </row>
    <row r="31" spans="1:3" s="55" customFormat="1">
      <c r="A31" s="92">
        <v>25</v>
      </c>
      <c r="B31" s="83" t="s">
        <v>221</v>
      </c>
      <c r="C31" s="506">
        <f>C32+C33</f>
        <v>0</v>
      </c>
    </row>
    <row r="32" spans="1:3" s="55" customFormat="1">
      <c r="A32" s="92">
        <v>26</v>
      </c>
      <c r="B32" s="94" t="s">
        <v>302</v>
      </c>
      <c r="C32" s="505">
        <v>0</v>
      </c>
    </row>
    <row r="33" spans="1:3" s="55" customFormat="1">
      <c r="A33" s="92">
        <v>27</v>
      </c>
      <c r="B33" s="94" t="s">
        <v>220</v>
      </c>
      <c r="C33" s="505">
        <v>0</v>
      </c>
    </row>
    <row r="34" spans="1:3" s="55" customFormat="1">
      <c r="A34" s="92">
        <v>28</v>
      </c>
      <c r="B34" s="83" t="s">
        <v>219</v>
      </c>
      <c r="C34" s="505">
        <v>0</v>
      </c>
    </row>
    <row r="35" spans="1:3" s="55" customFormat="1">
      <c r="A35" s="92">
        <v>29</v>
      </c>
      <c r="B35" s="91" t="s">
        <v>218</v>
      </c>
      <c r="C35" s="504">
        <f>SUM(C36:C40)</f>
        <v>0</v>
      </c>
    </row>
    <row r="36" spans="1:3" s="55" customFormat="1">
      <c r="A36" s="92">
        <v>30</v>
      </c>
      <c r="B36" s="87" t="s">
        <v>217</v>
      </c>
      <c r="C36" s="505">
        <v>0</v>
      </c>
    </row>
    <row r="37" spans="1:3" s="55" customFormat="1">
      <c r="A37" s="92">
        <v>31</v>
      </c>
      <c r="B37" s="88" t="s">
        <v>216</v>
      </c>
      <c r="C37" s="505">
        <v>0</v>
      </c>
    </row>
    <row r="38" spans="1:3" s="55" customFormat="1" ht="25.5">
      <c r="A38" s="92">
        <v>32</v>
      </c>
      <c r="B38" s="87" t="s">
        <v>215</v>
      </c>
      <c r="C38" s="505">
        <v>0</v>
      </c>
    </row>
    <row r="39" spans="1:3" s="55" customFormat="1" ht="25.5">
      <c r="A39" s="92">
        <v>33</v>
      </c>
      <c r="B39" s="87" t="s">
        <v>204</v>
      </c>
      <c r="C39" s="505">
        <v>0</v>
      </c>
    </row>
    <row r="40" spans="1:3" s="55" customFormat="1">
      <c r="A40" s="92">
        <v>34</v>
      </c>
      <c r="B40" s="89" t="s">
        <v>214</v>
      </c>
      <c r="C40" s="505">
        <v>0</v>
      </c>
    </row>
    <row r="41" spans="1:3" s="55" customFormat="1">
      <c r="A41" s="92">
        <v>35</v>
      </c>
      <c r="B41" s="91" t="s">
        <v>213</v>
      </c>
      <c r="C41" s="504">
        <f>C30-C35</f>
        <v>0</v>
      </c>
    </row>
    <row r="42" spans="1:3" s="55" customFormat="1">
      <c r="A42" s="92"/>
      <c r="B42" s="93"/>
      <c r="C42" s="505"/>
    </row>
    <row r="43" spans="1:3" s="55" customFormat="1">
      <c r="A43" s="92">
        <v>36</v>
      </c>
      <c r="B43" s="95" t="s">
        <v>212</v>
      </c>
      <c r="C43" s="504">
        <f>SUM(C44:C46)</f>
        <v>53924921.284104608</v>
      </c>
    </row>
    <row r="44" spans="1:3" s="55" customFormat="1">
      <c r="A44" s="92">
        <v>37</v>
      </c>
      <c r="B44" s="83" t="s">
        <v>211</v>
      </c>
      <c r="C44" s="505">
        <v>40809879.549999997</v>
      </c>
    </row>
    <row r="45" spans="1:3" s="55" customFormat="1">
      <c r="A45" s="92">
        <v>38</v>
      </c>
      <c r="B45" s="83" t="s">
        <v>210</v>
      </c>
      <c r="C45" s="505">
        <v>0</v>
      </c>
    </row>
    <row r="46" spans="1:3" s="55" customFormat="1">
      <c r="A46" s="92">
        <v>39</v>
      </c>
      <c r="B46" s="83" t="s">
        <v>209</v>
      </c>
      <c r="C46" s="505">
        <v>13115041.734104611</v>
      </c>
    </row>
    <row r="47" spans="1:3" s="55" customFormat="1">
      <c r="A47" s="92">
        <v>40</v>
      </c>
      <c r="B47" s="95" t="s">
        <v>208</v>
      </c>
      <c r="C47" s="504">
        <f>SUM(C48:C51)</f>
        <v>0</v>
      </c>
    </row>
    <row r="48" spans="1:3" s="55" customFormat="1">
      <c r="A48" s="92">
        <v>41</v>
      </c>
      <c r="B48" s="87" t="s">
        <v>207</v>
      </c>
      <c r="C48" s="505">
        <v>0</v>
      </c>
    </row>
    <row r="49" spans="1:3" s="55" customFormat="1">
      <c r="A49" s="92">
        <v>42</v>
      </c>
      <c r="B49" s="88" t="s">
        <v>206</v>
      </c>
      <c r="C49" s="505">
        <v>0</v>
      </c>
    </row>
    <row r="50" spans="1:3" s="55" customFormat="1">
      <c r="A50" s="92">
        <v>43</v>
      </c>
      <c r="B50" s="87" t="s">
        <v>205</v>
      </c>
      <c r="C50" s="505">
        <v>0</v>
      </c>
    </row>
    <row r="51" spans="1:3" s="55" customFormat="1" ht="25.5">
      <c r="A51" s="92">
        <v>44</v>
      </c>
      <c r="B51" s="87" t="s">
        <v>204</v>
      </c>
      <c r="C51" s="505">
        <v>0</v>
      </c>
    </row>
    <row r="52" spans="1:3" s="55" customFormat="1" ht="13.5" thickBot="1">
      <c r="A52" s="96">
        <v>45</v>
      </c>
      <c r="B52" s="97" t="s">
        <v>203</v>
      </c>
      <c r="C52" s="507">
        <f>C43-C47</f>
        <v>53924921.284104608</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G24" sqref="G24"/>
    </sheetView>
  </sheetViews>
  <sheetFormatPr defaultColWidth="9.140625" defaultRowHeight="12.75"/>
  <cols>
    <col min="1" max="1" width="9.42578125" style="193" bestFit="1" customWidth="1"/>
    <col min="2" max="2" width="59" style="193" customWidth="1"/>
    <col min="3" max="3" width="16.7109375" style="193" bestFit="1" customWidth="1"/>
    <col min="4" max="4" width="13.28515625" style="193" bestFit="1" customWidth="1"/>
    <col min="5" max="16384" width="9.140625" style="193"/>
  </cols>
  <sheetData>
    <row r="1" spans="1:4" ht="15">
      <c r="A1" s="191" t="s">
        <v>30</v>
      </c>
      <c r="B1" s="3" t="str">
        <f>'Info '!C2</f>
        <v>Terabank</v>
      </c>
    </row>
    <row r="2" spans="1:4" s="191" customFormat="1" ht="15.75" customHeight="1">
      <c r="A2" s="191" t="s">
        <v>31</v>
      </c>
      <c r="B2" s="339">
        <f>'1. key ratios '!B2</f>
        <v>44742</v>
      </c>
    </row>
    <row r="3" spans="1:4" s="191" customFormat="1" ht="15.75" customHeight="1"/>
    <row r="4" spans="1:4" ht="13.5" thickBot="1">
      <c r="A4" s="193" t="s">
        <v>405</v>
      </c>
      <c r="B4" s="272" t="s">
        <v>406</v>
      </c>
    </row>
    <row r="5" spans="1:4" s="198" customFormat="1" ht="12.75" customHeight="1">
      <c r="A5" s="321"/>
      <c r="B5" s="322" t="s">
        <v>409</v>
      </c>
      <c r="C5" s="265" t="s">
        <v>407</v>
      </c>
      <c r="D5" s="266" t="s">
        <v>408</v>
      </c>
    </row>
    <row r="6" spans="1:4" s="273" customFormat="1">
      <c r="A6" s="267">
        <v>1</v>
      </c>
      <c r="B6" s="317" t="s">
        <v>410</v>
      </c>
      <c r="C6" s="317"/>
      <c r="D6" s="268"/>
    </row>
    <row r="7" spans="1:4" s="273" customFormat="1">
      <c r="A7" s="269" t="s">
        <v>396</v>
      </c>
      <c r="B7" s="318" t="s">
        <v>411</v>
      </c>
      <c r="C7" s="508">
        <v>4.4999999999999998E-2</v>
      </c>
      <c r="D7" s="509">
        <v>52749257.566145346</v>
      </c>
    </row>
    <row r="8" spans="1:4" s="273" customFormat="1">
      <c r="A8" s="269" t="s">
        <v>397</v>
      </c>
      <c r="B8" s="318" t="s">
        <v>412</v>
      </c>
      <c r="C8" s="510">
        <v>0.06</v>
      </c>
      <c r="D8" s="509">
        <v>70332343.421527132</v>
      </c>
    </row>
    <row r="9" spans="1:4" s="273" customFormat="1">
      <c r="A9" s="269" t="s">
        <v>398</v>
      </c>
      <c r="B9" s="318" t="s">
        <v>413</v>
      </c>
      <c r="C9" s="510">
        <v>0.08</v>
      </c>
      <c r="D9" s="509">
        <v>93776457.895369515</v>
      </c>
    </row>
    <row r="10" spans="1:4" s="273" customFormat="1">
      <c r="A10" s="267" t="s">
        <v>399</v>
      </c>
      <c r="B10" s="317" t="s">
        <v>414</v>
      </c>
      <c r="C10" s="511"/>
      <c r="D10" s="512"/>
    </row>
    <row r="11" spans="1:4" s="274" customFormat="1">
      <c r="A11" s="270" t="s">
        <v>400</v>
      </c>
      <c r="B11" s="315" t="s">
        <v>480</v>
      </c>
      <c r="C11" s="513">
        <v>0</v>
      </c>
      <c r="D11" s="514">
        <v>0</v>
      </c>
    </row>
    <row r="12" spans="1:4" s="274" customFormat="1">
      <c r="A12" s="270" t="s">
        <v>401</v>
      </c>
      <c r="B12" s="315" t="s">
        <v>415</v>
      </c>
      <c r="C12" s="513">
        <v>0</v>
      </c>
      <c r="D12" s="514">
        <v>0</v>
      </c>
    </row>
    <row r="13" spans="1:4" s="274" customFormat="1">
      <c r="A13" s="270" t="s">
        <v>402</v>
      </c>
      <c r="B13" s="315" t="s">
        <v>416</v>
      </c>
      <c r="C13" s="513">
        <v>0</v>
      </c>
      <c r="D13" s="514">
        <v>0</v>
      </c>
    </row>
    <row r="14" spans="1:4" s="274" customFormat="1">
      <c r="A14" s="267" t="s">
        <v>403</v>
      </c>
      <c r="B14" s="317" t="s">
        <v>477</v>
      </c>
      <c r="C14" s="515"/>
      <c r="D14" s="512"/>
    </row>
    <row r="15" spans="1:4" s="274" customFormat="1">
      <c r="A15" s="270">
        <v>3.1</v>
      </c>
      <c r="B15" s="315" t="s">
        <v>421</v>
      </c>
      <c r="C15" s="513">
        <v>2.1084073984898734E-2</v>
      </c>
      <c r="D15" s="514">
        <v>24714872.203846399</v>
      </c>
    </row>
    <row r="16" spans="1:4" s="274" customFormat="1">
      <c r="A16" s="270">
        <v>3.2</v>
      </c>
      <c r="B16" s="315" t="s">
        <v>422</v>
      </c>
      <c r="C16" s="513">
        <v>2.8139242867568751E-2</v>
      </c>
      <c r="D16" s="514">
        <v>32984981.549726721</v>
      </c>
    </row>
    <row r="17" spans="1:4" s="273" customFormat="1" ht="13.5" thickBot="1">
      <c r="A17" s="270">
        <v>3.3</v>
      </c>
      <c r="B17" s="315" t="s">
        <v>423</v>
      </c>
      <c r="C17" s="513">
        <v>4.4862921534831096E-2</v>
      </c>
      <c r="D17" s="514">
        <v>52588573.404679433</v>
      </c>
    </row>
    <row r="18" spans="1:4" s="198" customFormat="1" ht="12.75" customHeight="1">
      <c r="A18" s="319"/>
      <c r="B18" s="320" t="s">
        <v>476</v>
      </c>
      <c r="C18" s="265" t="s">
        <v>407</v>
      </c>
      <c r="D18" s="266" t="s">
        <v>408</v>
      </c>
    </row>
    <row r="19" spans="1:4" s="273" customFormat="1">
      <c r="A19" s="271">
        <v>4</v>
      </c>
      <c r="B19" s="315" t="s">
        <v>417</v>
      </c>
      <c r="C19" s="513">
        <v>6.6084073984898739E-2</v>
      </c>
      <c r="D19" s="509">
        <v>77464129.769991755</v>
      </c>
    </row>
    <row r="20" spans="1:4" s="273" customFormat="1">
      <c r="A20" s="271">
        <v>5</v>
      </c>
      <c r="B20" s="315" t="s">
        <v>137</v>
      </c>
      <c r="C20" s="513">
        <v>8.8139242867568746E-2</v>
      </c>
      <c r="D20" s="509">
        <v>103317324.97125384</v>
      </c>
    </row>
    <row r="21" spans="1:4" s="273" customFormat="1" ht="13.5" thickBot="1">
      <c r="A21" s="275" t="s">
        <v>404</v>
      </c>
      <c r="B21" s="276" t="s">
        <v>418</v>
      </c>
      <c r="C21" s="316">
        <v>0.1248629215348311</v>
      </c>
      <c r="D21" s="516">
        <v>146365031.30004895</v>
      </c>
    </row>
    <row r="23" spans="1:4" ht="51">
      <c r="B23" s="232"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18" activePane="bottomRight" state="frozen"/>
      <selection activeCell="B47" sqref="B47"/>
      <selection pane="topRight" activeCell="B47" sqref="B47"/>
      <selection pane="bottomLeft" activeCell="B47" sqref="B47"/>
      <selection pane="bottomRight" activeCell="G36" sqref="G3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Terabank</v>
      </c>
      <c r="E1" s="4"/>
      <c r="F1" s="4"/>
    </row>
    <row r="2" spans="1:6" s="2" customFormat="1" ht="15.75" customHeight="1">
      <c r="A2" s="2" t="s">
        <v>31</v>
      </c>
      <c r="B2" s="339">
        <f>'1. key ratios '!B2</f>
        <v>44742</v>
      </c>
    </row>
    <row r="3" spans="1:6" s="2" customFormat="1" ht="15.75" customHeight="1">
      <c r="A3" s="98"/>
    </row>
    <row r="4" spans="1:6" s="2" customFormat="1" ht="15.75" customHeight="1" thickBot="1">
      <c r="A4" s="2" t="s">
        <v>86</v>
      </c>
      <c r="B4" s="183" t="s">
        <v>286</v>
      </c>
      <c r="D4" s="31" t="s">
        <v>73</v>
      </c>
    </row>
    <row r="5" spans="1:6" ht="25.5">
      <c r="A5" s="99" t="s">
        <v>6</v>
      </c>
      <c r="B5" s="210" t="s">
        <v>340</v>
      </c>
      <c r="C5" s="100" t="s">
        <v>93</v>
      </c>
      <c r="D5" s="101" t="s">
        <v>94</v>
      </c>
    </row>
    <row r="6" spans="1:6" ht="15">
      <c r="A6" s="71">
        <v>1</v>
      </c>
      <c r="B6" s="102" t="s">
        <v>35</v>
      </c>
      <c r="C6" s="517">
        <v>33683899.900000006</v>
      </c>
      <c r="D6" s="103"/>
      <c r="E6" s="104"/>
    </row>
    <row r="7" spans="1:6" ht="15">
      <c r="A7" s="71">
        <v>2</v>
      </c>
      <c r="B7" s="105" t="s">
        <v>36</v>
      </c>
      <c r="C7" s="518">
        <v>126868087.36</v>
      </c>
      <c r="D7" s="106"/>
      <c r="E7" s="104"/>
    </row>
    <row r="8" spans="1:6" ht="15">
      <c r="A8" s="71">
        <v>3</v>
      </c>
      <c r="B8" s="105" t="s">
        <v>37</v>
      </c>
      <c r="C8" s="518">
        <v>9908461.8499999996</v>
      </c>
      <c r="D8" s="106"/>
      <c r="E8" s="104"/>
    </row>
    <row r="9" spans="1:6" ht="15">
      <c r="A9" s="71">
        <v>4</v>
      </c>
      <c r="B9" s="105" t="s">
        <v>38</v>
      </c>
      <c r="C9" s="518">
        <v>0</v>
      </c>
      <c r="D9" s="106"/>
      <c r="E9" s="104"/>
    </row>
    <row r="10" spans="1:6" ht="15">
      <c r="A10" s="71">
        <v>5</v>
      </c>
      <c r="B10" s="105" t="s">
        <v>39</v>
      </c>
      <c r="C10" s="518">
        <v>153115320.19999999</v>
      </c>
      <c r="D10" s="106"/>
      <c r="E10" s="104"/>
    </row>
    <row r="11" spans="1:6" ht="15">
      <c r="A11" s="71">
        <v>6.1</v>
      </c>
      <c r="B11" s="184" t="s">
        <v>40</v>
      </c>
      <c r="C11" s="519">
        <v>1044853951.8300011</v>
      </c>
      <c r="D11" s="107"/>
      <c r="E11" s="108"/>
    </row>
    <row r="12" spans="1:6" ht="15">
      <c r="A12" s="71">
        <v>6.2</v>
      </c>
      <c r="B12" s="185" t="s">
        <v>41</v>
      </c>
      <c r="C12" s="519">
        <v>-47729652.000000134</v>
      </c>
      <c r="D12" s="107"/>
      <c r="E12" s="108"/>
    </row>
    <row r="13" spans="1:6" ht="15">
      <c r="A13" s="71" t="s">
        <v>712</v>
      </c>
      <c r="B13" s="185" t="s">
        <v>713</v>
      </c>
      <c r="C13" s="519">
        <v>-17949432.240000077</v>
      </c>
      <c r="D13" s="107"/>
      <c r="E13" s="104"/>
    </row>
    <row r="14" spans="1:6" ht="15">
      <c r="A14" s="71" t="s">
        <v>714</v>
      </c>
      <c r="B14" s="185" t="s">
        <v>715</v>
      </c>
      <c r="C14" s="519">
        <v>0</v>
      </c>
      <c r="D14" s="107"/>
      <c r="E14" s="104"/>
    </row>
    <row r="15" spans="1:6" ht="15">
      <c r="A15" s="71">
        <v>6</v>
      </c>
      <c r="B15" s="105" t="s">
        <v>42</v>
      </c>
      <c r="C15" s="520">
        <v>997124299.830001</v>
      </c>
      <c r="D15" s="107"/>
      <c r="E15" s="104"/>
    </row>
    <row r="16" spans="1:6" ht="15">
      <c r="A16" s="71">
        <v>7</v>
      </c>
      <c r="B16" s="105" t="s">
        <v>43</v>
      </c>
      <c r="C16" s="518">
        <v>12179876.750000024</v>
      </c>
      <c r="D16" s="106"/>
      <c r="E16" s="104"/>
    </row>
    <row r="17" spans="1:5" ht="15">
      <c r="A17" s="71">
        <v>8</v>
      </c>
      <c r="B17" s="105" t="s">
        <v>199</v>
      </c>
      <c r="C17" s="518">
        <v>4635228.3099999931</v>
      </c>
      <c r="D17" s="106"/>
      <c r="E17" s="104"/>
    </row>
    <row r="18" spans="1:5" ht="15">
      <c r="A18" s="71">
        <v>9</v>
      </c>
      <c r="B18" s="105" t="s">
        <v>44</v>
      </c>
      <c r="C18" s="518">
        <v>0</v>
      </c>
      <c r="D18" s="106"/>
      <c r="E18" s="104"/>
    </row>
    <row r="19" spans="1:5" ht="15">
      <c r="A19" s="71">
        <v>9.1</v>
      </c>
      <c r="B19" s="109" t="s">
        <v>88</v>
      </c>
      <c r="C19" s="519">
        <v>0</v>
      </c>
      <c r="D19" s="106"/>
      <c r="E19" s="104"/>
    </row>
    <row r="20" spans="1:5" ht="15">
      <c r="A20" s="71">
        <v>9.1999999999999993</v>
      </c>
      <c r="B20" s="109" t="s">
        <v>89</v>
      </c>
      <c r="C20" s="519">
        <v>0</v>
      </c>
      <c r="D20" s="106"/>
      <c r="E20" s="104"/>
    </row>
    <row r="21" spans="1:5" ht="15">
      <c r="A21" s="71">
        <v>9.3000000000000007</v>
      </c>
      <c r="B21" s="109" t="s">
        <v>268</v>
      </c>
      <c r="C21" s="519">
        <v>0</v>
      </c>
      <c r="D21" s="106"/>
      <c r="E21" s="104"/>
    </row>
    <row r="22" spans="1:5" ht="15">
      <c r="A22" s="71">
        <v>10</v>
      </c>
      <c r="B22" s="105" t="s">
        <v>45</v>
      </c>
      <c r="C22" s="518">
        <v>46687861.470000021</v>
      </c>
      <c r="D22" s="106"/>
      <c r="E22" s="104"/>
    </row>
    <row r="23" spans="1:5" ht="15">
      <c r="A23" s="71">
        <v>10.1</v>
      </c>
      <c r="B23" s="109" t="s">
        <v>90</v>
      </c>
      <c r="C23" s="518">
        <v>23650896</v>
      </c>
      <c r="D23" s="110" t="s">
        <v>92</v>
      </c>
      <c r="E23" s="115"/>
    </row>
    <row r="24" spans="1:5" ht="15">
      <c r="A24" s="71">
        <v>11</v>
      </c>
      <c r="B24" s="111" t="s">
        <v>46</v>
      </c>
      <c r="C24" s="521">
        <v>8025379.0039999997</v>
      </c>
      <c r="D24" s="112"/>
      <c r="E24" s="104"/>
    </row>
    <row r="25" spans="1:5" ht="15">
      <c r="A25" s="71">
        <v>12</v>
      </c>
      <c r="B25" s="113" t="s">
        <v>47</v>
      </c>
      <c r="C25" s="522">
        <f>SUM(C6:C10,C15:C18,C22,C24)</f>
        <v>1392228414.6740007</v>
      </c>
      <c r="D25" s="114"/>
      <c r="E25" s="104"/>
    </row>
    <row r="26" spans="1:5" ht="15">
      <c r="A26" s="71">
        <v>13</v>
      </c>
      <c r="B26" s="105" t="s">
        <v>49</v>
      </c>
      <c r="C26" s="523">
        <v>7527535.3399999999</v>
      </c>
      <c r="D26" s="116"/>
      <c r="E26" s="104"/>
    </row>
    <row r="27" spans="1:5" ht="15">
      <c r="A27" s="71">
        <v>14</v>
      </c>
      <c r="B27" s="105" t="s">
        <v>50</v>
      </c>
      <c r="C27" s="518">
        <v>187038640.27009115</v>
      </c>
      <c r="D27" s="106"/>
      <c r="E27" s="104"/>
    </row>
    <row r="28" spans="1:5" ht="15">
      <c r="A28" s="71">
        <v>15</v>
      </c>
      <c r="B28" s="105" t="s">
        <v>51</v>
      </c>
      <c r="C28" s="518">
        <v>219110241.64000005</v>
      </c>
      <c r="D28" s="106"/>
      <c r="E28" s="104"/>
    </row>
    <row r="29" spans="1:5" ht="15">
      <c r="A29" s="71">
        <v>16</v>
      </c>
      <c r="B29" s="105" t="s">
        <v>52</v>
      </c>
      <c r="C29" s="518">
        <v>420715793.47000015</v>
      </c>
      <c r="D29" s="106"/>
      <c r="E29" s="104"/>
    </row>
    <row r="30" spans="1:5" ht="15">
      <c r="A30" s="71">
        <v>17</v>
      </c>
      <c r="B30" s="105" t="s">
        <v>53</v>
      </c>
      <c r="C30" s="518">
        <v>0</v>
      </c>
      <c r="D30" s="106"/>
      <c r="E30" s="104"/>
    </row>
    <row r="31" spans="1:5" ht="15">
      <c r="A31" s="71">
        <v>18</v>
      </c>
      <c r="B31" s="105" t="s">
        <v>54</v>
      </c>
      <c r="C31" s="518">
        <v>293753746</v>
      </c>
      <c r="D31" s="106"/>
      <c r="E31" s="104"/>
    </row>
    <row r="32" spans="1:5" ht="15">
      <c r="A32" s="71">
        <v>19</v>
      </c>
      <c r="B32" s="105" t="s">
        <v>55</v>
      </c>
      <c r="C32" s="518">
        <v>6589524.650000006</v>
      </c>
      <c r="D32" s="106"/>
      <c r="E32" s="104"/>
    </row>
    <row r="33" spans="1:5" ht="15">
      <c r="A33" s="71">
        <v>20</v>
      </c>
      <c r="B33" s="105" t="s">
        <v>56</v>
      </c>
      <c r="C33" s="518">
        <v>23081974.920000002</v>
      </c>
      <c r="D33" s="106"/>
      <c r="E33" s="104"/>
    </row>
    <row r="34" spans="1:5" ht="15">
      <c r="A34" s="71">
        <v>20.100000000000001</v>
      </c>
      <c r="B34" s="111"/>
      <c r="C34" s="521">
        <v>1298914.4399999997</v>
      </c>
      <c r="D34" s="112"/>
      <c r="E34" s="115"/>
    </row>
    <row r="35" spans="1:5" ht="15">
      <c r="A35" s="71">
        <v>21</v>
      </c>
      <c r="B35" s="111" t="s">
        <v>57</v>
      </c>
      <c r="C35" s="521">
        <v>63578573.359999999</v>
      </c>
      <c r="D35" s="112"/>
      <c r="E35" s="104"/>
    </row>
    <row r="36" spans="1:5" ht="15.75">
      <c r="A36" s="71">
        <v>21.1</v>
      </c>
      <c r="B36" s="117" t="s">
        <v>91</v>
      </c>
      <c r="C36" s="524">
        <v>40809879.549999997</v>
      </c>
      <c r="D36" s="625" t="s">
        <v>767</v>
      </c>
      <c r="E36" s="104"/>
    </row>
    <row r="37" spans="1:5" ht="15">
      <c r="A37" s="71">
        <v>22</v>
      </c>
      <c r="B37" s="113" t="s">
        <v>58</v>
      </c>
      <c r="C37" s="522">
        <f>SUM(C26:C35)-C34</f>
        <v>1221396029.6500914</v>
      </c>
      <c r="D37" s="114"/>
      <c r="E37" s="104"/>
    </row>
    <row r="38" spans="1:5" ht="15.75">
      <c r="A38" s="71">
        <v>23</v>
      </c>
      <c r="B38" s="111" t="s">
        <v>60</v>
      </c>
      <c r="C38" s="518">
        <v>121372000</v>
      </c>
      <c r="D38" s="625" t="s">
        <v>766</v>
      </c>
      <c r="E38" s="104"/>
    </row>
    <row r="39" spans="1:5" ht="15.75">
      <c r="A39" s="71">
        <v>24</v>
      </c>
      <c r="B39" s="111" t="s">
        <v>61</v>
      </c>
      <c r="C39" s="518">
        <v>0</v>
      </c>
      <c r="D39" s="626"/>
      <c r="E39" s="104"/>
    </row>
    <row r="40" spans="1:5" ht="15.75">
      <c r="A40" s="71">
        <v>25</v>
      </c>
      <c r="B40" s="111" t="s">
        <v>62</v>
      </c>
      <c r="C40" s="518">
        <v>0</v>
      </c>
      <c r="D40" s="626"/>
      <c r="E40" s="104"/>
    </row>
    <row r="41" spans="1:5" ht="15.75">
      <c r="A41" s="71">
        <v>26</v>
      </c>
      <c r="B41" s="111" t="s">
        <v>63</v>
      </c>
      <c r="C41" s="518">
        <v>0</v>
      </c>
      <c r="D41" s="626"/>
      <c r="E41" s="104"/>
    </row>
    <row r="42" spans="1:5" ht="15.75">
      <c r="A42" s="71">
        <v>27</v>
      </c>
      <c r="B42" s="111" t="s">
        <v>64</v>
      </c>
      <c r="C42" s="518">
        <v>0</v>
      </c>
      <c r="D42" s="626"/>
      <c r="E42" s="115"/>
    </row>
    <row r="43" spans="1:5" ht="15.75">
      <c r="A43" s="71">
        <v>28</v>
      </c>
      <c r="B43" s="111" t="s">
        <v>65</v>
      </c>
      <c r="C43" s="518">
        <v>49460384.989999995</v>
      </c>
      <c r="D43" s="625" t="s">
        <v>768</v>
      </c>
    </row>
    <row r="44" spans="1:5" ht="15">
      <c r="A44" s="71">
        <v>29</v>
      </c>
      <c r="B44" s="111" t="s">
        <v>66</v>
      </c>
      <c r="C44" s="518">
        <v>0</v>
      </c>
      <c r="D44" s="106"/>
    </row>
    <row r="45" spans="1:5" ht="15.75" thickBot="1">
      <c r="A45" s="118">
        <v>30</v>
      </c>
      <c r="B45" s="119" t="s">
        <v>266</v>
      </c>
      <c r="C45" s="525">
        <f>SUM(C38:C44)</f>
        <v>170832384.99000001</v>
      </c>
      <c r="D45" s="12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S22"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85546875" style="30" customWidth="1"/>
    <col min="20" max="16384" width="9.140625" style="30"/>
  </cols>
  <sheetData>
    <row r="1" spans="1:19">
      <c r="A1" s="2" t="s">
        <v>30</v>
      </c>
      <c r="B1" s="3" t="str">
        <f>'Info '!C2</f>
        <v>Terabank</v>
      </c>
    </row>
    <row r="2" spans="1:19">
      <c r="A2" s="2" t="s">
        <v>31</v>
      </c>
      <c r="B2" s="339">
        <f>'1. key ratios '!B2</f>
        <v>44742</v>
      </c>
    </row>
    <row r="4" spans="1:19" ht="26.25" thickBot="1">
      <c r="A4" s="4" t="s">
        <v>249</v>
      </c>
      <c r="B4" s="226" t="s">
        <v>375</v>
      </c>
    </row>
    <row r="5" spans="1:19" s="218" customFormat="1">
      <c r="A5" s="213"/>
      <c r="B5" s="214"/>
      <c r="C5" s="215" t="s">
        <v>0</v>
      </c>
      <c r="D5" s="215" t="s">
        <v>1</v>
      </c>
      <c r="E5" s="215" t="s">
        <v>2</v>
      </c>
      <c r="F5" s="215" t="s">
        <v>3</v>
      </c>
      <c r="G5" s="215" t="s">
        <v>4</v>
      </c>
      <c r="H5" s="215" t="s">
        <v>5</v>
      </c>
      <c r="I5" s="215" t="s">
        <v>8</v>
      </c>
      <c r="J5" s="215" t="s">
        <v>9</v>
      </c>
      <c r="K5" s="215" t="s">
        <v>10</v>
      </c>
      <c r="L5" s="215" t="s">
        <v>11</v>
      </c>
      <c r="M5" s="215" t="s">
        <v>12</v>
      </c>
      <c r="N5" s="215" t="s">
        <v>13</v>
      </c>
      <c r="O5" s="215" t="s">
        <v>358</v>
      </c>
      <c r="P5" s="215" t="s">
        <v>359</v>
      </c>
      <c r="Q5" s="215" t="s">
        <v>360</v>
      </c>
      <c r="R5" s="216" t="s">
        <v>361</v>
      </c>
      <c r="S5" s="217" t="s">
        <v>362</v>
      </c>
    </row>
    <row r="6" spans="1:19" s="218" customFormat="1" ht="99" customHeight="1">
      <c r="A6" s="219"/>
      <c r="B6" s="649" t="s">
        <v>363</v>
      </c>
      <c r="C6" s="645">
        <v>0</v>
      </c>
      <c r="D6" s="646"/>
      <c r="E6" s="645">
        <v>0.2</v>
      </c>
      <c r="F6" s="646"/>
      <c r="G6" s="645">
        <v>0.35</v>
      </c>
      <c r="H6" s="646"/>
      <c r="I6" s="645">
        <v>0.5</v>
      </c>
      <c r="J6" s="646"/>
      <c r="K6" s="645">
        <v>0.75</v>
      </c>
      <c r="L6" s="646"/>
      <c r="M6" s="645">
        <v>1</v>
      </c>
      <c r="N6" s="646"/>
      <c r="O6" s="645">
        <v>1.5</v>
      </c>
      <c r="P6" s="646"/>
      <c r="Q6" s="645">
        <v>2.5</v>
      </c>
      <c r="R6" s="646"/>
      <c r="S6" s="647" t="s">
        <v>248</v>
      </c>
    </row>
    <row r="7" spans="1:19" s="218" customFormat="1" ht="30.75" customHeight="1">
      <c r="A7" s="219"/>
      <c r="B7" s="650"/>
      <c r="C7" s="209" t="s">
        <v>251</v>
      </c>
      <c r="D7" s="209" t="s">
        <v>250</v>
      </c>
      <c r="E7" s="209" t="s">
        <v>251</v>
      </c>
      <c r="F7" s="209" t="s">
        <v>250</v>
      </c>
      <c r="G7" s="209" t="s">
        <v>251</v>
      </c>
      <c r="H7" s="209" t="s">
        <v>250</v>
      </c>
      <c r="I7" s="209" t="s">
        <v>251</v>
      </c>
      <c r="J7" s="209" t="s">
        <v>250</v>
      </c>
      <c r="K7" s="209" t="s">
        <v>251</v>
      </c>
      <c r="L7" s="209" t="s">
        <v>250</v>
      </c>
      <c r="M7" s="209" t="s">
        <v>251</v>
      </c>
      <c r="N7" s="209" t="s">
        <v>250</v>
      </c>
      <c r="O7" s="209" t="s">
        <v>251</v>
      </c>
      <c r="P7" s="209" t="s">
        <v>250</v>
      </c>
      <c r="Q7" s="209" t="s">
        <v>251</v>
      </c>
      <c r="R7" s="209" t="s">
        <v>250</v>
      </c>
      <c r="S7" s="648"/>
    </row>
    <row r="8" spans="1:19">
      <c r="A8" s="121">
        <v>1</v>
      </c>
      <c r="B8" s="1" t="s">
        <v>96</v>
      </c>
      <c r="C8" s="528">
        <v>171080912.19999999</v>
      </c>
      <c r="D8" s="528">
        <v>0</v>
      </c>
      <c r="E8" s="528">
        <v>0</v>
      </c>
      <c r="F8" s="529">
        <v>0</v>
      </c>
      <c r="G8" s="528">
        <v>0</v>
      </c>
      <c r="H8" s="528">
        <v>0</v>
      </c>
      <c r="I8" s="528">
        <v>0</v>
      </c>
      <c r="J8" s="528">
        <v>0</v>
      </c>
      <c r="K8" s="528">
        <v>0</v>
      </c>
      <c r="L8" s="528">
        <v>0</v>
      </c>
      <c r="M8" s="528">
        <v>107923562.45</v>
      </c>
      <c r="N8" s="528">
        <v>0</v>
      </c>
      <c r="O8" s="528">
        <v>0</v>
      </c>
      <c r="P8" s="528">
        <v>0</v>
      </c>
      <c r="Q8" s="528">
        <v>0</v>
      </c>
      <c r="R8" s="529">
        <v>0</v>
      </c>
      <c r="S8" s="530">
        <f>$C$6*SUM(C8:D8)+$E$6*SUM(E8:F8)+$G$6*SUM(G8:H8)+$I$6*SUM(I8:J8)+$K$6*SUM(K8:L8)+$M$6*SUM(M8:N8)+$O$6*SUM(O8:P8)+$Q$6*SUM(Q8:R8)</f>
        <v>107923562.45</v>
      </c>
    </row>
    <row r="9" spans="1:19">
      <c r="A9" s="121">
        <v>2</v>
      </c>
      <c r="B9" s="1" t="s">
        <v>97</v>
      </c>
      <c r="C9" s="528">
        <v>0</v>
      </c>
      <c r="D9" s="528">
        <v>0</v>
      </c>
      <c r="E9" s="528">
        <v>0</v>
      </c>
      <c r="F9" s="528">
        <v>0</v>
      </c>
      <c r="G9" s="528">
        <v>0</v>
      </c>
      <c r="H9" s="528">
        <v>0</v>
      </c>
      <c r="I9" s="528">
        <v>0</v>
      </c>
      <c r="J9" s="528">
        <v>0</v>
      </c>
      <c r="K9" s="528">
        <v>0</v>
      </c>
      <c r="L9" s="528">
        <v>0</v>
      </c>
      <c r="M9" s="528">
        <v>0</v>
      </c>
      <c r="N9" s="528">
        <v>0</v>
      </c>
      <c r="O9" s="528">
        <v>0</v>
      </c>
      <c r="P9" s="528">
        <v>0</v>
      </c>
      <c r="Q9" s="528">
        <v>0</v>
      </c>
      <c r="R9" s="529">
        <v>0</v>
      </c>
      <c r="S9" s="530">
        <f t="shared" ref="S9:S21" si="0">$C$6*SUM(C9:D9)+$E$6*SUM(E9:F9)+$G$6*SUM(G9:H9)+$I$6*SUM(I9:J9)+$K$6*SUM(K9:L9)+$M$6*SUM(M9:N9)+$O$6*SUM(O9:P9)+$Q$6*SUM(Q9:R9)</f>
        <v>0</v>
      </c>
    </row>
    <row r="10" spans="1:19">
      <c r="A10" s="121">
        <v>3</v>
      </c>
      <c r="B10" s="1" t="s">
        <v>269</v>
      </c>
      <c r="C10" s="528">
        <v>0</v>
      </c>
      <c r="D10" s="528">
        <v>0</v>
      </c>
      <c r="E10" s="528">
        <v>0</v>
      </c>
      <c r="F10" s="528">
        <v>0</v>
      </c>
      <c r="G10" s="528">
        <v>0</v>
      </c>
      <c r="H10" s="528">
        <v>0</v>
      </c>
      <c r="I10" s="528">
        <v>0</v>
      </c>
      <c r="J10" s="528">
        <v>0</v>
      </c>
      <c r="K10" s="528">
        <v>0</v>
      </c>
      <c r="L10" s="528">
        <v>0</v>
      </c>
      <c r="M10" s="528">
        <v>0</v>
      </c>
      <c r="N10" s="528">
        <v>0</v>
      </c>
      <c r="O10" s="528">
        <v>0</v>
      </c>
      <c r="P10" s="528">
        <v>0</v>
      </c>
      <c r="Q10" s="528">
        <v>0</v>
      </c>
      <c r="R10" s="529">
        <v>0</v>
      </c>
      <c r="S10" s="530">
        <f t="shared" si="0"/>
        <v>0</v>
      </c>
    </row>
    <row r="11" spans="1:19">
      <c r="A11" s="121">
        <v>4</v>
      </c>
      <c r="B11" s="1" t="s">
        <v>98</v>
      </c>
      <c r="C11" s="528">
        <v>0</v>
      </c>
      <c r="D11" s="528">
        <v>0</v>
      </c>
      <c r="E11" s="528">
        <v>0</v>
      </c>
      <c r="F11" s="528">
        <v>0</v>
      </c>
      <c r="G11" s="528">
        <v>0</v>
      </c>
      <c r="H11" s="528">
        <v>0</v>
      </c>
      <c r="I11" s="528">
        <v>0</v>
      </c>
      <c r="J11" s="528">
        <v>0</v>
      </c>
      <c r="K11" s="528">
        <v>0</v>
      </c>
      <c r="L11" s="528">
        <v>0</v>
      </c>
      <c r="M11" s="528">
        <v>0</v>
      </c>
      <c r="N11" s="528">
        <v>0</v>
      </c>
      <c r="O11" s="528">
        <v>0</v>
      </c>
      <c r="P11" s="528">
        <v>0</v>
      </c>
      <c r="Q11" s="528">
        <v>0</v>
      </c>
      <c r="R11" s="529">
        <v>0</v>
      </c>
      <c r="S11" s="530">
        <f t="shared" si="0"/>
        <v>0</v>
      </c>
    </row>
    <row r="12" spans="1:19">
      <c r="A12" s="121">
        <v>5</v>
      </c>
      <c r="B12" s="1" t="s">
        <v>99</v>
      </c>
      <c r="C12" s="528">
        <v>0</v>
      </c>
      <c r="D12" s="528">
        <v>0</v>
      </c>
      <c r="E12" s="528">
        <v>0</v>
      </c>
      <c r="F12" s="528">
        <v>0</v>
      </c>
      <c r="G12" s="528">
        <v>0</v>
      </c>
      <c r="H12" s="528">
        <v>0</v>
      </c>
      <c r="I12" s="528">
        <v>0</v>
      </c>
      <c r="J12" s="528">
        <v>0</v>
      </c>
      <c r="K12" s="528">
        <v>0</v>
      </c>
      <c r="L12" s="528">
        <v>0</v>
      </c>
      <c r="M12" s="528">
        <v>0</v>
      </c>
      <c r="N12" s="528">
        <v>0</v>
      </c>
      <c r="O12" s="528">
        <v>0</v>
      </c>
      <c r="P12" s="528">
        <v>0</v>
      </c>
      <c r="Q12" s="528">
        <v>0</v>
      </c>
      <c r="R12" s="529">
        <v>0</v>
      </c>
      <c r="S12" s="530">
        <f t="shared" si="0"/>
        <v>0</v>
      </c>
    </row>
    <row r="13" spans="1:19">
      <c r="A13" s="121">
        <v>6</v>
      </c>
      <c r="B13" s="1" t="s">
        <v>100</v>
      </c>
      <c r="C13" s="528">
        <v>0</v>
      </c>
      <c r="D13" s="528">
        <v>0</v>
      </c>
      <c r="E13" s="528">
        <v>2235767.38</v>
      </c>
      <c r="F13" s="528">
        <v>0</v>
      </c>
      <c r="G13" s="528">
        <v>0</v>
      </c>
      <c r="H13" s="528">
        <v>0</v>
      </c>
      <c r="I13" s="528">
        <v>5154339.3399999989</v>
      </c>
      <c r="J13" s="528">
        <v>0</v>
      </c>
      <c r="K13" s="528">
        <v>0</v>
      </c>
      <c r="L13" s="528">
        <v>0</v>
      </c>
      <c r="M13" s="528">
        <v>2518355.13</v>
      </c>
      <c r="N13" s="528">
        <v>0</v>
      </c>
      <c r="O13" s="528">
        <v>0</v>
      </c>
      <c r="P13" s="528">
        <v>0</v>
      </c>
      <c r="Q13" s="528">
        <v>0</v>
      </c>
      <c r="R13" s="529">
        <v>0</v>
      </c>
      <c r="S13" s="530">
        <f t="shared" si="0"/>
        <v>5542678.2759999996</v>
      </c>
    </row>
    <row r="14" spans="1:19">
      <c r="A14" s="121">
        <v>7</v>
      </c>
      <c r="B14" s="1" t="s">
        <v>101</v>
      </c>
      <c r="C14" s="528">
        <v>0</v>
      </c>
      <c r="D14" s="528">
        <v>0</v>
      </c>
      <c r="E14" s="528">
        <v>0</v>
      </c>
      <c r="F14" s="528">
        <v>0</v>
      </c>
      <c r="G14" s="528">
        <v>0</v>
      </c>
      <c r="H14" s="528">
        <v>0</v>
      </c>
      <c r="I14" s="528">
        <v>0</v>
      </c>
      <c r="J14" s="528">
        <v>0</v>
      </c>
      <c r="K14" s="528">
        <v>0</v>
      </c>
      <c r="L14" s="528">
        <v>0</v>
      </c>
      <c r="M14" s="528">
        <v>514465760.21284372</v>
      </c>
      <c r="N14" s="528">
        <v>43362329.133999996</v>
      </c>
      <c r="O14" s="528">
        <v>0</v>
      </c>
      <c r="P14" s="528">
        <v>0</v>
      </c>
      <c r="Q14" s="528">
        <v>0</v>
      </c>
      <c r="R14" s="529">
        <v>0</v>
      </c>
      <c r="S14" s="530">
        <f t="shared" si="0"/>
        <v>557828089.34684372</v>
      </c>
    </row>
    <row r="15" spans="1:19">
      <c r="A15" s="121">
        <v>8</v>
      </c>
      <c r="B15" s="1" t="s">
        <v>102</v>
      </c>
      <c r="C15" s="528">
        <v>0</v>
      </c>
      <c r="D15" s="528">
        <v>0</v>
      </c>
      <c r="E15" s="528">
        <v>0</v>
      </c>
      <c r="F15" s="528">
        <v>0</v>
      </c>
      <c r="G15" s="528">
        <v>0</v>
      </c>
      <c r="H15" s="528">
        <v>0</v>
      </c>
      <c r="I15" s="528">
        <v>0</v>
      </c>
      <c r="J15" s="528">
        <v>0</v>
      </c>
      <c r="K15" s="528">
        <v>335852603.38825953</v>
      </c>
      <c r="L15" s="528">
        <v>8671576.8209999949</v>
      </c>
      <c r="M15" s="528">
        <v>0</v>
      </c>
      <c r="N15" s="528">
        <v>0</v>
      </c>
      <c r="O15" s="528">
        <v>0</v>
      </c>
      <c r="P15" s="528">
        <v>0</v>
      </c>
      <c r="Q15" s="528">
        <v>0</v>
      </c>
      <c r="R15" s="529">
        <v>0</v>
      </c>
      <c r="S15" s="530">
        <f t="shared" si="0"/>
        <v>258393135.15694463</v>
      </c>
    </row>
    <row r="16" spans="1:19">
      <c r="A16" s="121">
        <v>9</v>
      </c>
      <c r="B16" s="1" t="s">
        <v>103</v>
      </c>
      <c r="C16" s="528">
        <v>0</v>
      </c>
      <c r="D16" s="528">
        <v>0</v>
      </c>
      <c r="E16" s="528">
        <v>0</v>
      </c>
      <c r="F16" s="528">
        <v>0</v>
      </c>
      <c r="G16" s="528">
        <v>109347162.01857811</v>
      </c>
      <c r="H16" s="528">
        <v>1123923.3</v>
      </c>
      <c r="I16" s="528">
        <v>0</v>
      </c>
      <c r="J16" s="528">
        <v>0</v>
      </c>
      <c r="K16" s="528">
        <v>0</v>
      </c>
      <c r="L16" s="528">
        <v>0</v>
      </c>
      <c r="M16" s="528">
        <v>0</v>
      </c>
      <c r="N16" s="528">
        <v>0</v>
      </c>
      <c r="O16" s="528">
        <v>0</v>
      </c>
      <c r="P16" s="528">
        <v>0</v>
      </c>
      <c r="Q16" s="528">
        <v>0</v>
      </c>
      <c r="R16" s="529">
        <v>0</v>
      </c>
      <c r="S16" s="530">
        <f t="shared" si="0"/>
        <v>38664879.861502334</v>
      </c>
    </row>
    <row r="17" spans="1:19">
      <c r="A17" s="121">
        <v>10</v>
      </c>
      <c r="B17" s="1" t="s">
        <v>104</v>
      </c>
      <c r="C17" s="528">
        <v>0</v>
      </c>
      <c r="D17" s="528">
        <v>0</v>
      </c>
      <c r="E17" s="528">
        <v>0</v>
      </c>
      <c r="F17" s="528">
        <v>0</v>
      </c>
      <c r="G17" s="528">
        <v>0</v>
      </c>
      <c r="H17" s="528">
        <v>0</v>
      </c>
      <c r="I17" s="528">
        <v>1937342.0601502832</v>
      </c>
      <c r="J17" s="528">
        <v>0</v>
      </c>
      <c r="K17" s="528">
        <v>0</v>
      </c>
      <c r="L17" s="528">
        <v>0</v>
      </c>
      <c r="M17" s="528">
        <v>7347815.495263719</v>
      </c>
      <c r="N17" s="528">
        <v>0</v>
      </c>
      <c r="O17" s="528">
        <v>428921.0179949521</v>
      </c>
      <c r="P17" s="528">
        <v>0</v>
      </c>
      <c r="Q17" s="528">
        <v>0</v>
      </c>
      <c r="R17" s="529">
        <v>0</v>
      </c>
      <c r="S17" s="530">
        <f t="shared" si="0"/>
        <v>8959868.0523312874</v>
      </c>
    </row>
    <row r="18" spans="1:19">
      <c r="A18" s="121">
        <v>11</v>
      </c>
      <c r="B18" s="1" t="s">
        <v>105</v>
      </c>
      <c r="C18" s="528">
        <v>0</v>
      </c>
      <c r="D18" s="528">
        <v>0</v>
      </c>
      <c r="E18" s="528">
        <v>0</v>
      </c>
      <c r="F18" s="528">
        <v>0</v>
      </c>
      <c r="G18" s="528">
        <v>0</v>
      </c>
      <c r="H18" s="528">
        <v>0</v>
      </c>
      <c r="I18" s="528">
        <v>0</v>
      </c>
      <c r="J18" s="528">
        <v>0</v>
      </c>
      <c r="K18" s="528">
        <v>0</v>
      </c>
      <c r="L18" s="528">
        <v>0</v>
      </c>
      <c r="M18" s="528">
        <v>36139196.224031329</v>
      </c>
      <c r="N18" s="528">
        <v>0</v>
      </c>
      <c r="O18" s="528">
        <v>25122863.182876986</v>
      </c>
      <c r="P18" s="528">
        <v>0</v>
      </c>
      <c r="Q18" s="528">
        <v>0</v>
      </c>
      <c r="R18" s="529">
        <v>0</v>
      </c>
      <c r="S18" s="530">
        <f t="shared" si="0"/>
        <v>73823490.998346806</v>
      </c>
    </row>
    <row r="19" spans="1:19">
      <c r="A19" s="121">
        <v>12</v>
      </c>
      <c r="B19" s="1" t="s">
        <v>106</v>
      </c>
      <c r="C19" s="528">
        <v>0</v>
      </c>
      <c r="D19" s="528">
        <v>0</v>
      </c>
      <c r="E19" s="528">
        <v>0</v>
      </c>
      <c r="F19" s="528">
        <v>0</v>
      </c>
      <c r="G19" s="528">
        <v>0</v>
      </c>
      <c r="H19" s="528">
        <v>0</v>
      </c>
      <c r="I19" s="528">
        <v>0</v>
      </c>
      <c r="J19" s="528">
        <v>0</v>
      </c>
      <c r="K19" s="528">
        <v>0</v>
      </c>
      <c r="L19" s="528">
        <v>0</v>
      </c>
      <c r="M19" s="528">
        <v>0</v>
      </c>
      <c r="N19" s="528">
        <v>0</v>
      </c>
      <c r="O19" s="528">
        <v>0</v>
      </c>
      <c r="P19" s="528">
        <v>0</v>
      </c>
      <c r="Q19" s="528">
        <v>0</v>
      </c>
      <c r="R19" s="529">
        <v>0</v>
      </c>
      <c r="S19" s="530">
        <f t="shared" si="0"/>
        <v>0</v>
      </c>
    </row>
    <row r="20" spans="1:19">
      <c r="A20" s="121">
        <v>13</v>
      </c>
      <c r="B20" s="1" t="s">
        <v>247</v>
      </c>
      <c r="C20" s="528">
        <v>0</v>
      </c>
      <c r="D20" s="528">
        <v>0</v>
      </c>
      <c r="E20" s="528">
        <v>0</v>
      </c>
      <c r="F20" s="528">
        <v>0</v>
      </c>
      <c r="G20" s="528">
        <v>0</v>
      </c>
      <c r="H20" s="528">
        <v>0</v>
      </c>
      <c r="I20" s="528">
        <v>0</v>
      </c>
      <c r="J20" s="528">
        <v>0</v>
      </c>
      <c r="K20" s="528">
        <v>0</v>
      </c>
      <c r="L20" s="528">
        <v>0</v>
      </c>
      <c r="M20" s="528">
        <v>0</v>
      </c>
      <c r="N20" s="528">
        <v>0</v>
      </c>
      <c r="O20" s="528">
        <v>0</v>
      </c>
      <c r="P20" s="528">
        <v>0</v>
      </c>
      <c r="Q20" s="528">
        <v>0</v>
      </c>
      <c r="R20" s="529">
        <v>0</v>
      </c>
      <c r="S20" s="530">
        <f t="shared" si="0"/>
        <v>0</v>
      </c>
    </row>
    <row r="21" spans="1:19">
      <c r="A21" s="121">
        <v>14</v>
      </c>
      <c r="B21" s="1" t="s">
        <v>108</v>
      </c>
      <c r="C21" s="528">
        <v>33239657.199999996</v>
      </c>
      <c r="D21" s="528">
        <v>0</v>
      </c>
      <c r="E21" s="528">
        <v>444242.69999999995</v>
      </c>
      <c r="F21" s="528">
        <v>0</v>
      </c>
      <c r="G21" s="528">
        <v>0</v>
      </c>
      <c r="H21" s="528">
        <v>0</v>
      </c>
      <c r="I21" s="528">
        <v>0</v>
      </c>
      <c r="J21" s="528">
        <v>0</v>
      </c>
      <c r="K21" s="528">
        <v>0</v>
      </c>
      <c r="L21" s="528">
        <v>0</v>
      </c>
      <c r="M21" s="528">
        <v>33388450.789999977</v>
      </c>
      <c r="N21" s="528">
        <v>0</v>
      </c>
      <c r="O21" s="528">
        <v>0</v>
      </c>
      <c r="P21" s="528">
        <v>0</v>
      </c>
      <c r="Q21" s="528">
        <v>0</v>
      </c>
      <c r="R21" s="529">
        <v>0</v>
      </c>
      <c r="S21" s="530">
        <f t="shared" si="0"/>
        <v>33477299.329999976</v>
      </c>
    </row>
    <row r="22" spans="1:19" ht="13.5" thickBot="1">
      <c r="A22" s="122"/>
      <c r="B22" s="123" t="s">
        <v>109</v>
      </c>
      <c r="C22" s="224">
        <f>SUM(C8:C21)</f>
        <v>204320569.39999998</v>
      </c>
      <c r="D22" s="224">
        <f t="shared" ref="D22:S22" si="1">SUM(D8:D21)</f>
        <v>0</v>
      </c>
      <c r="E22" s="224">
        <f t="shared" si="1"/>
        <v>2680010.08</v>
      </c>
      <c r="F22" s="224">
        <f t="shared" si="1"/>
        <v>0</v>
      </c>
      <c r="G22" s="224">
        <f t="shared" si="1"/>
        <v>109347162.01857811</v>
      </c>
      <c r="H22" s="224">
        <f t="shared" si="1"/>
        <v>1123923.3</v>
      </c>
      <c r="I22" s="224">
        <f t="shared" si="1"/>
        <v>7091681.4001502823</v>
      </c>
      <c r="J22" s="224">
        <f t="shared" si="1"/>
        <v>0</v>
      </c>
      <c r="K22" s="224">
        <f t="shared" si="1"/>
        <v>335852603.38825953</v>
      </c>
      <c r="L22" s="224">
        <f t="shared" si="1"/>
        <v>8671576.8209999949</v>
      </c>
      <c r="M22" s="224">
        <f t="shared" si="1"/>
        <v>701783140.30213869</v>
      </c>
      <c r="N22" s="224">
        <f t="shared" si="1"/>
        <v>43362329.133999996</v>
      </c>
      <c r="O22" s="224">
        <f t="shared" si="1"/>
        <v>25551784.200871937</v>
      </c>
      <c r="P22" s="224">
        <f t="shared" si="1"/>
        <v>0</v>
      </c>
      <c r="Q22" s="224">
        <f t="shared" si="1"/>
        <v>0</v>
      </c>
      <c r="R22" s="224">
        <f t="shared" si="1"/>
        <v>0</v>
      </c>
      <c r="S22" s="531">
        <f t="shared" si="1"/>
        <v>1084613003.4719687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R7" activePane="bottomRight" state="frozen"/>
      <selection activeCell="B9" sqref="B9"/>
      <selection pane="topRight" activeCell="B9" sqref="B9"/>
      <selection pane="bottomLeft" activeCell="B9" sqref="B9"/>
      <selection pane="bottomRight" activeCell="U15" sqref="U15"/>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c r="A1" s="2" t="s">
        <v>30</v>
      </c>
      <c r="B1" s="3" t="str">
        <f>'Info '!C2</f>
        <v>Terabank</v>
      </c>
    </row>
    <row r="2" spans="1:22">
      <c r="A2" s="2" t="s">
        <v>31</v>
      </c>
      <c r="B2" s="339">
        <f>'1. key ratios '!B2</f>
        <v>44742</v>
      </c>
    </row>
    <row r="4" spans="1:22" ht="13.5" thickBot="1">
      <c r="A4" s="4" t="s">
        <v>366</v>
      </c>
      <c r="B4" s="124" t="s">
        <v>95</v>
      </c>
      <c r="V4" s="31" t="s">
        <v>73</v>
      </c>
    </row>
    <row r="5" spans="1:22" ht="12.75" customHeight="1">
      <c r="A5" s="125"/>
      <c r="B5" s="126"/>
      <c r="C5" s="651" t="s">
        <v>277</v>
      </c>
      <c r="D5" s="652"/>
      <c r="E5" s="652"/>
      <c r="F5" s="652"/>
      <c r="G5" s="652"/>
      <c r="H5" s="652"/>
      <c r="I5" s="652"/>
      <c r="J5" s="652"/>
      <c r="K5" s="652"/>
      <c r="L5" s="653"/>
      <c r="M5" s="654" t="s">
        <v>278</v>
      </c>
      <c r="N5" s="655"/>
      <c r="O5" s="655"/>
      <c r="P5" s="655"/>
      <c r="Q5" s="655"/>
      <c r="R5" s="655"/>
      <c r="S5" s="656"/>
      <c r="T5" s="659" t="s">
        <v>364</v>
      </c>
      <c r="U5" s="659" t="s">
        <v>365</v>
      </c>
      <c r="V5" s="657" t="s">
        <v>121</v>
      </c>
    </row>
    <row r="6" spans="1:22" s="76" customFormat="1" ht="102">
      <c r="A6" s="74"/>
      <c r="B6" s="127"/>
      <c r="C6" s="128" t="s">
        <v>110</v>
      </c>
      <c r="D6" s="188" t="s">
        <v>111</v>
      </c>
      <c r="E6" s="147" t="s">
        <v>280</v>
      </c>
      <c r="F6" s="147" t="s">
        <v>281</v>
      </c>
      <c r="G6" s="188" t="s">
        <v>284</v>
      </c>
      <c r="H6" s="188" t="s">
        <v>279</v>
      </c>
      <c r="I6" s="188" t="s">
        <v>112</v>
      </c>
      <c r="J6" s="188" t="s">
        <v>113</v>
      </c>
      <c r="K6" s="129" t="s">
        <v>114</v>
      </c>
      <c r="L6" s="130" t="s">
        <v>115</v>
      </c>
      <c r="M6" s="128" t="s">
        <v>282</v>
      </c>
      <c r="N6" s="129" t="s">
        <v>116</v>
      </c>
      <c r="O6" s="129" t="s">
        <v>117</v>
      </c>
      <c r="P6" s="129" t="s">
        <v>118</v>
      </c>
      <c r="Q6" s="129" t="s">
        <v>119</v>
      </c>
      <c r="R6" s="129" t="s">
        <v>120</v>
      </c>
      <c r="S6" s="211" t="s">
        <v>283</v>
      </c>
      <c r="T6" s="660"/>
      <c r="U6" s="660"/>
      <c r="V6" s="658"/>
    </row>
    <row r="7" spans="1:22">
      <c r="A7" s="131">
        <v>1</v>
      </c>
      <c r="B7" s="1" t="s">
        <v>96</v>
      </c>
      <c r="C7" s="532">
        <v>0</v>
      </c>
      <c r="D7" s="528">
        <v>0</v>
      </c>
      <c r="E7" s="528">
        <v>0</v>
      </c>
      <c r="F7" s="528">
        <v>0</v>
      </c>
      <c r="G7" s="528">
        <v>0</v>
      </c>
      <c r="H7" s="528">
        <v>0</v>
      </c>
      <c r="I7" s="528">
        <v>0</v>
      </c>
      <c r="J7" s="528">
        <v>0</v>
      </c>
      <c r="K7" s="528">
        <v>0</v>
      </c>
      <c r="L7" s="533">
        <v>0</v>
      </c>
      <c r="M7" s="532">
        <v>0</v>
      </c>
      <c r="N7" s="528">
        <v>0</v>
      </c>
      <c r="O7" s="528">
        <v>0</v>
      </c>
      <c r="P7" s="528">
        <v>0</v>
      </c>
      <c r="Q7" s="528">
        <v>0</v>
      </c>
      <c r="R7" s="528">
        <v>0</v>
      </c>
      <c r="S7" s="533">
        <v>0</v>
      </c>
      <c r="T7" s="534">
        <v>0</v>
      </c>
      <c r="U7" s="535">
        <v>0</v>
      </c>
      <c r="V7" s="536">
        <f>SUM(C7:S7)</f>
        <v>0</v>
      </c>
    </row>
    <row r="8" spans="1:22">
      <c r="A8" s="131">
        <v>2</v>
      </c>
      <c r="B8" s="1" t="s">
        <v>97</v>
      </c>
      <c r="C8" s="532">
        <v>0</v>
      </c>
      <c r="D8" s="528">
        <v>0</v>
      </c>
      <c r="E8" s="528">
        <v>0</v>
      </c>
      <c r="F8" s="528">
        <v>0</v>
      </c>
      <c r="G8" s="528">
        <v>0</v>
      </c>
      <c r="H8" s="528">
        <v>0</v>
      </c>
      <c r="I8" s="528">
        <v>0</v>
      </c>
      <c r="J8" s="528">
        <v>0</v>
      </c>
      <c r="K8" s="528">
        <v>0</v>
      </c>
      <c r="L8" s="533">
        <v>0</v>
      </c>
      <c r="M8" s="532">
        <v>0</v>
      </c>
      <c r="N8" s="528">
        <v>0</v>
      </c>
      <c r="O8" s="528">
        <v>0</v>
      </c>
      <c r="P8" s="528">
        <v>0</v>
      </c>
      <c r="Q8" s="528">
        <v>0</v>
      </c>
      <c r="R8" s="528">
        <v>0</v>
      </c>
      <c r="S8" s="533">
        <v>0</v>
      </c>
      <c r="T8" s="535">
        <v>0</v>
      </c>
      <c r="U8" s="535">
        <v>0</v>
      </c>
      <c r="V8" s="536">
        <f t="shared" ref="V8:V20" si="0">SUM(C8:S8)</f>
        <v>0</v>
      </c>
    </row>
    <row r="9" spans="1:22">
      <c r="A9" s="131">
        <v>3</v>
      </c>
      <c r="B9" s="1" t="s">
        <v>270</v>
      </c>
      <c r="C9" s="532">
        <v>0</v>
      </c>
      <c r="D9" s="528">
        <v>0</v>
      </c>
      <c r="E9" s="528">
        <v>0</v>
      </c>
      <c r="F9" s="528">
        <v>0</v>
      </c>
      <c r="G9" s="528">
        <v>0</v>
      </c>
      <c r="H9" s="528">
        <v>0</v>
      </c>
      <c r="I9" s="528">
        <v>0</v>
      </c>
      <c r="J9" s="528">
        <v>0</v>
      </c>
      <c r="K9" s="528">
        <v>0</v>
      </c>
      <c r="L9" s="533">
        <v>0</v>
      </c>
      <c r="M9" s="532">
        <v>0</v>
      </c>
      <c r="N9" s="528">
        <v>0</v>
      </c>
      <c r="O9" s="528">
        <v>0</v>
      </c>
      <c r="P9" s="528">
        <v>0</v>
      </c>
      <c r="Q9" s="528">
        <v>0</v>
      </c>
      <c r="R9" s="528">
        <v>0</v>
      </c>
      <c r="S9" s="533">
        <v>0</v>
      </c>
      <c r="T9" s="535">
        <v>0</v>
      </c>
      <c r="U9" s="535">
        <v>0</v>
      </c>
      <c r="V9" s="536">
        <f>SUM(C9:S9)</f>
        <v>0</v>
      </c>
    </row>
    <row r="10" spans="1:22">
      <c r="A10" s="131">
        <v>4</v>
      </c>
      <c r="B10" s="1" t="s">
        <v>98</v>
      </c>
      <c r="C10" s="532">
        <v>0</v>
      </c>
      <c r="D10" s="528">
        <v>0</v>
      </c>
      <c r="E10" s="528">
        <v>0</v>
      </c>
      <c r="F10" s="528">
        <v>0</v>
      </c>
      <c r="G10" s="528">
        <v>0</v>
      </c>
      <c r="H10" s="528">
        <v>0</v>
      </c>
      <c r="I10" s="528">
        <v>0</v>
      </c>
      <c r="J10" s="528">
        <v>0</v>
      </c>
      <c r="K10" s="528">
        <v>0</v>
      </c>
      <c r="L10" s="533">
        <v>0</v>
      </c>
      <c r="M10" s="532">
        <v>0</v>
      </c>
      <c r="N10" s="528">
        <v>0</v>
      </c>
      <c r="O10" s="528">
        <v>0</v>
      </c>
      <c r="P10" s="528">
        <v>0</v>
      </c>
      <c r="Q10" s="528">
        <v>0</v>
      </c>
      <c r="R10" s="528">
        <v>0</v>
      </c>
      <c r="S10" s="533">
        <v>0</v>
      </c>
      <c r="T10" s="535">
        <v>0</v>
      </c>
      <c r="U10" s="535">
        <v>0</v>
      </c>
      <c r="V10" s="536">
        <f t="shared" si="0"/>
        <v>0</v>
      </c>
    </row>
    <row r="11" spans="1:22">
      <c r="A11" s="131">
        <v>5</v>
      </c>
      <c r="B11" s="1" t="s">
        <v>99</v>
      </c>
      <c r="C11" s="532">
        <v>0</v>
      </c>
      <c r="D11" s="528">
        <v>0</v>
      </c>
      <c r="E11" s="528">
        <v>0</v>
      </c>
      <c r="F11" s="528">
        <v>0</v>
      </c>
      <c r="G11" s="528">
        <v>0</v>
      </c>
      <c r="H11" s="528">
        <v>0</v>
      </c>
      <c r="I11" s="528">
        <v>0</v>
      </c>
      <c r="J11" s="528">
        <v>0</v>
      </c>
      <c r="K11" s="528">
        <v>0</v>
      </c>
      <c r="L11" s="533">
        <v>0</v>
      </c>
      <c r="M11" s="532">
        <v>0</v>
      </c>
      <c r="N11" s="528">
        <v>0</v>
      </c>
      <c r="O11" s="528">
        <v>0</v>
      </c>
      <c r="P11" s="528">
        <v>0</v>
      </c>
      <c r="Q11" s="528">
        <v>0</v>
      </c>
      <c r="R11" s="528">
        <v>0</v>
      </c>
      <c r="S11" s="533">
        <v>0</v>
      </c>
      <c r="T11" s="535">
        <v>0</v>
      </c>
      <c r="U11" s="535">
        <v>0</v>
      </c>
      <c r="V11" s="536">
        <f t="shared" si="0"/>
        <v>0</v>
      </c>
    </row>
    <row r="12" spans="1:22">
      <c r="A12" s="131">
        <v>6</v>
      </c>
      <c r="B12" s="1" t="s">
        <v>100</v>
      </c>
      <c r="C12" s="532">
        <v>0</v>
      </c>
      <c r="D12" s="528">
        <v>0</v>
      </c>
      <c r="E12" s="528">
        <v>0</v>
      </c>
      <c r="F12" s="528">
        <v>0</v>
      </c>
      <c r="G12" s="528">
        <v>0</v>
      </c>
      <c r="H12" s="528">
        <v>0</v>
      </c>
      <c r="I12" s="528">
        <v>0</v>
      </c>
      <c r="J12" s="528">
        <v>0</v>
      </c>
      <c r="K12" s="528">
        <v>0</v>
      </c>
      <c r="L12" s="533">
        <v>0</v>
      </c>
      <c r="M12" s="532">
        <v>0</v>
      </c>
      <c r="N12" s="528">
        <v>0</v>
      </c>
      <c r="O12" s="528">
        <v>0</v>
      </c>
      <c r="P12" s="528">
        <v>0</v>
      </c>
      <c r="Q12" s="528">
        <v>0</v>
      </c>
      <c r="R12" s="528">
        <v>0</v>
      </c>
      <c r="S12" s="533">
        <v>0</v>
      </c>
      <c r="T12" s="535">
        <v>0</v>
      </c>
      <c r="U12" s="535">
        <v>0</v>
      </c>
      <c r="V12" s="536">
        <f t="shared" si="0"/>
        <v>0</v>
      </c>
    </row>
    <row r="13" spans="1:22">
      <c r="A13" s="131">
        <v>7</v>
      </c>
      <c r="B13" s="1" t="s">
        <v>101</v>
      </c>
      <c r="C13" s="532">
        <v>0</v>
      </c>
      <c r="D13" s="528">
        <v>33632562.075499997</v>
      </c>
      <c r="E13" s="528">
        <v>0</v>
      </c>
      <c r="F13" s="528">
        <v>0</v>
      </c>
      <c r="G13" s="528">
        <v>0</v>
      </c>
      <c r="H13" s="528">
        <v>0</v>
      </c>
      <c r="I13" s="528">
        <v>0</v>
      </c>
      <c r="J13" s="528">
        <v>0</v>
      </c>
      <c r="K13" s="528">
        <v>0</v>
      </c>
      <c r="L13" s="533">
        <v>0</v>
      </c>
      <c r="M13" s="532">
        <v>0</v>
      </c>
      <c r="N13" s="528">
        <v>0</v>
      </c>
      <c r="O13" s="528">
        <v>0</v>
      </c>
      <c r="P13" s="528">
        <v>0</v>
      </c>
      <c r="Q13" s="528">
        <v>0</v>
      </c>
      <c r="R13" s="528">
        <v>0</v>
      </c>
      <c r="S13" s="533">
        <v>0</v>
      </c>
      <c r="T13" s="535">
        <v>23197653.609999996</v>
      </c>
      <c r="U13" s="535">
        <v>10434908.465500001</v>
      </c>
      <c r="V13" s="536">
        <f t="shared" si="0"/>
        <v>33632562.075499997</v>
      </c>
    </row>
    <row r="14" spans="1:22">
      <c r="A14" s="131">
        <v>8</v>
      </c>
      <c r="B14" s="1" t="s">
        <v>102</v>
      </c>
      <c r="C14" s="532">
        <v>0</v>
      </c>
      <c r="D14" s="528">
        <v>3005333.6325000003</v>
      </c>
      <c r="E14" s="528">
        <v>0</v>
      </c>
      <c r="F14" s="528">
        <v>0</v>
      </c>
      <c r="G14" s="528">
        <v>0</v>
      </c>
      <c r="H14" s="528">
        <v>0</v>
      </c>
      <c r="I14" s="528">
        <v>0</v>
      </c>
      <c r="J14" s="528">
        <v>0</v>
      </c>
      <c r="K14" s="528">
        <v>0</v>
      </c>
      <c r="L14" s="533">
        <v>0</v>
      </c>
      <c r="M14" s="532">
        <v>0</v>
      </c>
      <c r="N14" s="528">
        <v>0</v>
      </c>
      <c r="O14" s="528">
        <v>0</v>
      </c>
      <c r="P14" s="528">
        <v>0</v>
      </c>
      <c r="Q14" s="528">
        <v>0</v>
      </c>
      <c r="R14" s="528">
        <v>0</v>
      </c>
      <c r="S14" s="533">
        <v>0</v>
      </c>
      <c r="T14" s="535">
        <v>3005333.6325000003</v>
      </c>
      <c r="U14" s="535">
        <v>0</v>
      </c>
      <c r="V14" s="536">
        <f t="shared" si="0"/>
        <v>3005333.6325000003</v>
      </c>
    </row>
    <row r="15" spans="1:22">
      <c r="A15" s="131">
        <v>9</v>
      </c>
      <c r="B15" s="1" t="s">
        <v>103</v>
      </c>
      <c r="C15" s="532">
        <v>0</v>
      </c>
      <c r="D15" s="528">
        <v>0</v>
      </c>
      <c r="E15" s="528">
        <v>0</v>
      </c>
      <c r="F15" s="528">
        <v>0</v>
      </c>
      <c r="G15" s="528">
        <v>0</v>
      </c>
      <c r="H15" s="528">
        <v>0</v>
      </c>
      <c r="I15" s="528">
        <v>0</v>
      </c>
      <c r="J15" s="528">
        <v>0</v>
      </c>
      <c r="K15" s="528">
        <v>0</v>
      </c>
      <c r="L15" s="533">
        <v>0</v>
      </c>
      <c r="M15" s="532">
        <v>0</v>
      </c>
      <c r="N15" s="528">
        <v>0</v>
      </c>
      <c r="O15" s="528">
        <v>0</v>
      </c>
      <c r="P15" s="528">
        <v>0</v>
      </c>
      <c r="Q15" s="528">
        <v>0</v>
      </c>
      <c r="R15" s="528">
        <v>0</v>
      </c>
      <c r="S15" s="533">
        <v>0</v>
      </c>
      <c r="T15" s="535">
        <v>0</v>
      </c>
      <c r="U15" s="535">
        <v>0</v>
      </c>
      <c r="V15" s="536">
        <f t="shared" si="0"/>
        <v>0</v>
      </c>
    </row>
    <row r="16" spans="1:22">
      <c r="A16" s="131">
        <v>10</v>
      </c>
      <c r="B16" s="1" t="s">
        <v>104</v>
      </c>
      <c r="C16" s="532">
        <v>0</v>
      </c>
      <c r="D16" s="528">
        <v>0</v>
      </c>
      <c r="E16" s="528">
        <v>0</v>
      </c>
      <c r="F16" s="528">
        <v>0</v>
      </c>
      <c r="G16" s="528">
        <v>0</v>
      </c>
      <c r="H16" s="528">
        <v>0</v>
      </c>
      <c r="I16" s="528">
        <v>0</v>
      </c>
      <c r="J16" s="528">
        <v>0</v>
      </c>
      <c r="K16" s="528">
        <v>0</v>
      </c>
      <c r="L16" s="533">
        <v>0</v>
      </c>
      <c r="M16" s="532">
        <v>0</v>
      </c>
      <c r="N16" s="528">
        <v>0</v>
      </c>
      <c r="O16" s="528">
        <v>0</v>
      </c>
      <c r="P16" s="528">
        <v>0</v>
      </c>
      <c r="Q16" s="528">
        <v>0</v>
      </c>
      <c r="R16" s="528">
        <v>0</v>
      </c>
      <c r="S16" s="533">
        <v>0</v>
      </c>
      <c r="T16" s="535">
        <v>0</v>
      </c>
      <c r="U16" s="535">
        <v>0</v>
      </c>
      <c r="V16" s="536">
        <f t="shared" si="0"/>
        <v>0</v>
      </c>
    </row>
    <row r="17" spans="1:22">
      <c r="A17" s="131">
        <v>11</v>
      </c>
      <c r="B17" s="1" t="s">
        <v>105</v>
      </c>
      <c r="C17" s="532">
        <v>0</v>
      </c>
      <c r="D17" s="528">
        <v>85129.03</v>
      </c>
      <c r="E17" s="528">
        <v>0</v>
      </c>
      <c r="F17" s="528">
        <v>0</v>
      </c>
      <c r="G17" s="528">
        <v>0</v>
      </c>
      <c r="H17" s="528">
        <v>0</v>
      </c>
      <c r="I17" s="528">
        <v>0</v>
      </c>
      <c r="J17" s="528">
        <v>0</v>
      </c>
      <c r="K17" s="528">
        <v>0</v>
      </c>
      <c r="L17" s="533">
        <v>0</v>
      </c>
      <c r="M17" s="532">
        <v>0</v>
      </c>
      <c r="N17" s="528">
        <v>0</v>
      </c>
      <c r="O17" s="528">
        <v>0</v>
      </c>
      <c r="P17" s="528">
        <v>0</v>
      </c>
      <c r="Q17" s="528">
        <v>0</v>
      </c>
      <c r="R17" s="528">
        <v>0</v>
      </c>
      <c r="S17" s="533">
        <v>0</v>
      </c>
      <c r="T17" s="535">
        <v>85129.03</v>
      </c>
      <c r="U17" s="535">
        <v>0</v>
      </c>
      <c r="V17" s="536">
        <f t="shared" si="0"/>
        <v>85129.03</v>
      </c>
    </row>
    <row r="18" spans="1:22">
      <c r="A18" s="131">
        <v>12</v>
      </c>
      <c r="B18" s="1" t="s">
        <v>106</v>
      </c>
      <c r="C18" s="532">
        <v>0</v>
      </c>
      <c r="D18" s="528">
        <v>0</v>
      </c>
      <c r="E18" s="528">
        <v>0</v>
      </c>
      <c r="F18" s="528">
        <v>0</v>
      </c>
      <c r="G18" s="528">
        <v>0</v>
      </c>
      <c r="H18" s="528">
        <v>0</v>
      </c>
      <c r="I18" s="528">
        <v>0</v>
      </c>
      <c r="J18" s="528">
        <v>0</v>
      </c>
      <c r="K18" s="528">
        <v>0</v>
      </c>
      <c r="L18" s="533">
        <v>0</v>
      </c>
      <c r="M18" s="532">
        <v>0</v>
      </c>
      <c r="N18" s="528">
        <v>0</v>
      </c>
      <c r="O18" s="528">
        <v>0</v>
      </c>
      <c r="P18" s="528">
        <v>0</v>
      </c>
      <c r="Q18" s="528">
        <v>0</v>
      </c>
      <c r="R18" s="528">
        <v>0</v>
      </c>
      <c r="S18" s="533">
        <v>0</v>
      </c>
      <c r="T18" s="535">
        <v>0</v>
      </c>
      <c r="U18" s="535">
        <v>0</v>
      </c>
      <c r="V18" s="536">
        <f t="shared" si="0"/>
        <v>0</v>
      </c>
    </row>
    <row r="19" spans="1:22">
      <c r="A19" s="131">
        <v>13</v>
      </c>
      <c r="B19" s="1" t="s">
        <v>107</v>
      </c>
      <c r="C19" s="532">
        <v>0</v>
      </c>
      <c r="D19" s="528">
        <v>0</v>
      </c>
      <c r="E19" s="528">
        <v>0</v>
      </c>
      <c r="F19" s="528">
        <v>0</v>
      </c>
      <c r="G19" s="528">
        <v>0</v>
      </c>
      <c r="H19" s="528">
        <v>0</v>
      </c>
      <c r="I19" s="528">
        <v>0</v>
      </c>
      <c r="J19" s="528">
        <v>0</v>
      </c>
      <c r="K19" s="528">
        <v>0</v>
      </c>
      <c r="L19" s="533">
        <v>0</v>
      </c>
      <c r="M19" s="532">
        <v>0</v>
      </c>
      <c r="N19" s="528">
        <v>0</v>
      </c>
      <c r="O19" s="528">
        <v>0</v>
      </c>
      <c r="P19" s="528">
        <v>0</v>
      </c>
      <c r="Q19" s="528">
        <v>0</v>
      </c>
      <c r="R19" s="528">
        <v>0</v>
      </c>
      <c r="S19" s="533">
        <v>0</v>
      </c>
      <c r="T19" s="535">
        <v>0</v>
      </c>
      <c r="U19" s="535">
        <v>0</v>
      </c>
      <c r="V19" s="536">
        <f t="shared" si="0"/>
        <v>0</v>
      </c>
    </row>
    <row r="20" spans="1:22">
      <c r="A20" s="131">
        <v>14</v>
      </c>
      <c r="B20" s="1" t="s">
        <v>108</v>
      </c>
      <c r="C20" s="532">
        <v>0</v>
      </c>
      <c r="D20" s="528">
        <v>0</v>
      </c>
      <c r="E20" s="528">
        <v>0</v>
      </c>
      <c r="F20" s="528">
        <v>0</v>
      </c>
      <c r="G20" s="528">
        <v>0</v>
      </c>
      <c r="H20" s="528">
        <v>0</v>
      </c>
      <c r="I20" s="528">
        <v>0</v>
      </c>
      <c r="J20" s="528">
        <v>0</v>
      </c>
      <c r="K20" s="528">
        <v>0</v>
      </c>
      <c r="L20" s="533">
        <v>0</v>
      </c>
      <c r="M20" s="532">
        <v>0</v>
      </c>
      <c r="N20" s="528">
        <v>0</v>
      </c>
      <c r="O20" s="528">
        <v>0</v>
      </c>
      <c r="P20" s="528">
        <v>0</v>
      </c>
      <c r="Q20" s="528">
        <v>0</v>
      </c>
      <c r="R20" s="528">
        <v>0</v>
      </c>
      <c r="S20" s="533">
        <v>0</v>
      </c>
      <c r="T20" s="535">
        <v>0</v>
      </c>
      <c r="U20" s="535">
        <v>0</v>
      </c>
      <c r="V20" s="536">
        <f t="shared" si="0"/>
        <v>0</v>
      </c>
    </row>
    <row r="21" spans="1:22" ht="13.5" thickBot="1">
      <c r="A21" s="122"/>
      <c r="B21" s="132" t="s">
        <v>109</v>
      </c>
      <c r="C21" s="537">
        <f>SUM(C7:C20)</f>
        <v>0</v>
      </c>
      <c r="D21" s="538">
        <f t="shared" ref="D21:V21" si="1">SUM(D7:D20)</f>
        <v>36723024.737999998</v>
      </c>
      <c r="E21" s="538">
        <f t="shared" si="1"/>
        <v>0</v>
      </c>
      <c r="F21" s="538">
        <f t="shared" si="1"/>
        <v>0</v>
      </c>
      <c r="G21" s="538">
        <f t="shared" si="1"/>
        <v>0</v>
      </c>
      <c r="H21" s="538">
        <f t="shared" si="1"/>
        <v>0</v>
      </c>
      <c r="I21" s="538">
        <f t="shared" si="1"/>
        <v>0</v>
      </c>
      <c r="J21" s="538">
        <f t="shared" si="1"/>
        <v>0</v>
      </c>
      <c r="K21" s="538">
        <f t="shared" si="1"/>
        <v>0</v>
      </c>
      <c r="L21" s="531">
        <f t="shared" si="1"/>
        <v>0</v>
      </c>
      <c r="M21" s="537">
        <f t="shared" si="1"/>
        <v>0</v>
      </c>
      <c r="N21" s="538">
        <f t="shared" si="1"/>
        <v>0</v>
      </c>
      <c r="O21" s="538">
        <f t="shared" si="1"/>
        <v>0</v>
      </c>
      <c r="P21" s="538">
        <f t="shared" si="1"/>
        <v>0</v>
      </c>
      <c r="Q21" s="538">
        <f t="shared" si="1"/>
        <v>0</v>
      </c>
      <c r="R21" s="538">
        <f t="shared" si="1"/>
        <v>0</v>
      </c>
      <c r="S21" s="531">
        <f t="shared" si="1"/>
        <v>0</v>
      </c>
      <c r="T21" s="531">
        <f>SUM(T7:T20)</f>
        <v>26288116.272499997</v>
      </c>
      <c r="U21" s="531">
        <f t="shared" si="1"/>
        <v>10434908.465500001</v>
      </c>
      <c r="V21" s="539">
        <f t="shared" si="1"/>
        <v>36723024.737999998</v>
      </c>
    </row>
    <row r="24" spans="1:22">
      <c r="C24" s="53"/>
      <c r="D24" s="53"/>
      <c r="E24" s="53"/>
    </row>
    <row r="25" spans="1:22">
      <c r="A25" s="73"/>
      <c r="B25" s="73"/>
      <c r="D25" s="53"/>
      <c r="E25" s="53"/>
    </row>
    <row r="26" spans="1:22">
      <c r="A26" s="73"/>
      <c r="B26" s="54"/>
      <c r="D26" s="53"/>
      <c r="E26" s="53"/>
    </row>
    <row r="27" spans="1:22">
      <c r="A27" s="73"/>
      <c r="B27" s="73"/>
      <c r="D27" s="53"/>
      <c r="E27" s="53"/>
    </row>
    <row r="28" spans="1:22">
      <c r="A28" s="73"/>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H22" sqref="C8:H22"/>
    </sheetView>
  </sheetViews>
  <sheetFormatPr defaultColWidth="9.140625" defaultRowHeight="12.75"/>
  <cols>
    <col min="1" max="1" width="10.5703125" style="4" bestFit="1" customWidth="1"/>
    <col min="2" max="2" width="101.85546875" style="4" customWidth="1"/>
    <col min="3" max="3" width="13.7109375" style="193" customWidth="1"/>
    <col min="4" max="4" width="14.85546875" style="193" bestFit="1" customWidth="1"/>
    <col min="5" max="5" width="17.7109375" style="193" customWidth="1"/>
    <col min="6" max="6" width="15.85546875" style="193" customWidth="1"/>
    <col min="7" max="7" width="17.42578125" style="193" customWidth="1"/>
    <col min="8" max="8" width="15.28515625" style="193" customWidth="1"/>
    <col min="9" max="16384" width="9.140625" style="30"/>
  </cols>
  <sheetData>
    <row r="1" spans="1:9">
      <c r="A1" s="2" t="s">
        <v>30</v>
      </c>
      <c r="B1" s="4" t="str">
        <f>'Info '!C2</f>
        <v>Terabank</v>
      </c>
      <c r="C1" s="3">
        <f>'Info '!D2</f>
        <v>0</v>
      </c>
    </row>
    <row r="2" spans="1:9">
      <c r="A2" s="2" t="s">
        <v>31</v>
      </c>
      <c r="C2" s="339">
        <f>'1. key ratios '!B2</f>
        <v>44742</v>
      </c>
    </row>
    <row r="4" spans="1:9" ht="13.5" thickBot="1">
      <c r="A4" s="2" t="s">
        <v>253</v>
      </c>
      <c r="B4" s="124" t="s">
        <v>376</v>
      </c>
    </row>
    <row r="5" spans="1:9">
      <c r="A5" s="125"/>
      <c r="B5" s="133"/>
      <c r="C5" s="220" t="s">
        <v>0</v>
      </c>
      <c r="D5" s="220" t="s">
        <v>1</v>
      </c>
      <c r="E5" s="220" t="s">
        <v>2</v>
      </c>
      <c r="F5" s="220" t="s">
        <v>3</v>
      </c>
      <c r="G5" s="221" t="s">
        <v>4</v>
      </c>
      <c r="H5" s="222" t="s">
        <v>5</v>
      </c>
      <c r="I5" s="134"/>
    </row>
    <row r="6" spans="1:9" s="134" customFormat="1" ht="12.75" customHeight="1">
      <c r="A6" s="135"/>
      <c r="B6" s="663" t="s">
        <v>252</v>
      </c>
      <c r="C6" s="649" t="s">
        <v>368</v>
      </c>
      <c r="D6" s="665" t="s">
        <v>367</v>
      </c>
      <c r="E6" s="666"/>
      <c r="F6" s="649" t="s">
        <v>372</v>
      </c>
      <c r="G6" s="649" t="s">
        <v>373</v>
      </c>
      <c r="H6" s="661" t="s">
        <v>371</v>
      </c>
    </row>
    <row r="7" spans="1:9" ht="38.25">
      <c r="A7" s="137"/>
      <c r="B7" s="664"/>
      <c r="C7" s="650"/>
      <c r="D7" s="223" t="s">
        <v>370</v>
      </c>
      <c r="E7" s="223" t="s">
        <v>369</v>
      </c>
      <c r="F7" s="650"/>
      <c r="G7" s="650"/>
      <c r="H7" s="662"/>
      <c r="I7" s="134"/>
    </row>
    <row r="8" spans="1:9">
      <c r="A8" s="135">
        <v>1</v>
      </c>
      <c r="B8" s="1" t="s">
        <v>96</v>
      </c>
      <c r="C8" s="540">
        <v>279004474.64999998</v>
      </c>
      <c r="D8" s="541">
        <v>0</v>
      </c>
      <c r="E8" s="540">
        <v>0</v>
      </c>
      <c r="F8" s="540">
        <v>107923562.45</v>
      </c>
      <c r="G8" s="542">
        <v>107923562.45</v>
      </c>
      <c r="H8" s="543">
        <f>G8/(C8+E8)</f>
        <v>0.38681660064909645</v>
      </c>
    </row>
    <row r="9" spans="1:9" ht="15" customHeight="1">
      <c r="A9" s="135">
        <v>2</v>
      </c>
      <c r="B9" s="1" t="s">
        <v>97</v>
      </c>
      <c r="C9" s="540">
        <v>0</v>
      </c>
      <c r="D9" s="541">
        <v>0</v>
      </c>
      <c r="E9" s="540">
        <v>0</v>
      </c>
      <c r="F9" s="540">
        <v>0</v>
      </c>
      <c r="G9" s="542">
        <v>0</v>
      </c>
      <c r="H9" s="543"/>
    </row>
    <row r="10" spans="1:9">
      <c r="A10" s="135">
        <v>3</v>
      </c>
      <c r="B10" s="1" t="s">
        <v>270</v>
      </c>
      <c r="C10" s="540">
        <v>0</v>
      </c>
      <c r="D10" s="541">
        <v>0</v>
      </c>
      <c r="E10" s="540">
        <v>0</v>
      </c>
      <c r="F10" s="540">
        <v>0</v>
      </c>
      <c r="G10" s="542">
        <v>0</v>
      </c>
      <c r="H10" s="543"/>
    </row>
    <row r="11" spans="1:9">
      <c r="A11" s="135">
        <v>4</v>
      </c>
      <c r="B11" s="1" t="s">
        <v>98</v>
      </c>
      <c r="C11" s="540">
        <v>0</v>
      </c>
      <c r="D11" s="541">
        <v>0</v>
      </c>
      <c r="E11" s="540">
        <v>0</v>
      </c>
      <c r="F11" s="540">
        <v>0</v>
      </c>
      <c r="G11" s="542">
        <v>0</v>
      </c>
      <c r="H11" s="543"/>
    </row>
    <row r="12" spans="1:9">
      <c r="A12" s="135">
        <v>5</v>
      </c>
      <c r="B12" s="1" t="s">
        <v>99</v>
      </c>
      <c r="C12" s="540">
        <v>0</v>
      </c>
      <c r="D12" s="541">
        <v>0</v>
      </c>
      <c r="E12" s="540">
        <v>0</v>
      </c>
      <c r="F12" s="540">
        <v>0</v>
      </c>
      <c r="G12" s="542">
        <v>0</v>
      </c>
      <c r="H12" s="543"/>
    </row>
    <row r="13" spans="1:9">
      <c r="A13" s="135">
        <v>6</v>
      </c>
      <c r="B13" s="1" t="s">
        <v>100</v>
      </c>
      <c r="C13" s="540">
        <v>9908461.8499999978</v>
      </c>
      <c r="D13" s="541">
        <v>0</v>
      </c>
      <c r="E13" s="540">
        <v>0</v>
      </c>
      <c r="F13" s="540">
        <v>5542678.2759999996</v>
      </c>
      <c r="G13" s="542">
        <v>5542678.2759999996</v>
      </c>
      <c r="H13" s="543">
        <f t="shared" ref="H13:H21" si="0">G13/(C13+E13)</f>
        <v>0.55938836520826907</v>
      </c>
    </row>
    <row r="14" spans="1:9">
      <c r="A14" s="135">
        <v>7</v>
      </c>
      <c r="B14" s="1" t="s">
        <v>101</v>
      </c>
      <c r="C14" s="540">
        <v>514465760.21284372</v>
      </c>
      <c r="D14" s="541">
        <v>79001767.329999983</v>
      </c>
      <c r="E14" s="540">
        <v>43362329.133999996</v>
      </c>
      <c r="F14" s="541">
        <v>557828089.34684372</v>
      </c>
      <c r="G14" s="544">
        <v>524195527.27134371</v>
      </c>
      <c r="H14" s="543">
        <f>G14/(C14+E14)</f>
        <v>0.93970801629068179</v>
      </c>
    </row>
    <row r="15" spans="1:9">
      <c r="A15" s="135">
        <v>8</v>
      </c>
      <c r="B15" s="1" t="s">
        <v>102</v>
      </c>
      <c r="C15" s="540">
        <v>335852603.38825953</v>
      </c>
      <c r="D15" s="541">
        <v>18801575.419999987</v>
      </c>
      <c r="E15" s="540">
        <v>8671576.8209999949</v>
      </c>
      <c r="F15" s="541">
        <v>258393135.15694463</v>
      </c>
      <c r="G15" s="544">
        <v>255387801.52444464</v>
      </c>
      <c r="H15" s="543">
        <f t="shared" si="0"/>
        <v>0.74127685716957636</v>
      </c>
    </row>
    <row r="16" spans="1:9">
      <c r="A16" s="135">
        <v>9</v>
      </c>
      <c r="B16" s="1" t="s">
        <v>103</v>
      </c>
      <c r="C16" s="540">
        <v>109347162.01857811</v>
      </c>
      <c r="D16" s="541">
        <v>2019754.51</v>
      </c>
      <c r="E16" s="540">
        <v>1123923.3</v>
      </c>
      <c r="F16" s="541">
        <v>38664879.861502334</v>
      </c>
      <c r="G16" s="544">
        <v>38664879.861502334</v>
      </c>
      <c r="H16" s="543">
        <f t="shared" si="0"/>
        <v>0.35</v>
      </c>
    </row>
    <row r="17" spans="1:8">
      <c r="A17" s="135">
        <v>10</v>
      </c>
      <c r="B17" s="1" t="s">
        <v>104</v>
      </c>
      <c r="C17" s="540">
        <v>9714078.5734089538</v>
      </c>
      <c r="D17" s="541">
        <v>0</v>
      </c>
      <c r="E17" s="540">
        <v>0</v>
      </c>
      <c r="F17" s="541">
        <v>8959868.0523312874</v>
      </c>
      <c r="G17" s="544">
        <v>8959868.0523312874</v>
      </c>
      <c r="H17" s="543">
        <f t="shared" si="0"/>
        <v>0.92235902609000697</v>
      </c>
    </row>
    <row r="18" spans="1:8">
      <c r="A18" s="135">
        <v>11</v>
      </c>
      <c r="B18" s="1" t="s">
        <v>105</v>
      </c>
      <c r="C18" s="540">
        <v>61262059.406908318</v>
      </c>
      <c r="D18" s="541">
        <v>0</v>
      </c>
      <c r="E18" s="540">
        <v>0</v>
      </c>
      <c r="F18" s="541">
        <v>73823490.998346806</v>
      </c>
      <c r="G18" s="544">
        <v>73738361.968346804</v>
      </c>
      <c r="H18" s="543">
        <f t="shared" si="0"/>
        <v>1.203654638486273</v>
      </c>
    </row>
    <row r="19" spans="1:8">
      <c r="A19" s="135">
        <v>12</v>
      </c>
      <c r="B19" s="1" t="s">
        <v>106</v>
      </c>
      <c r="C19" s="540">
        <v>0</v>
      </c>
      <c r="D19" s="541">
        <v>0</v>
      </c>
      <c r="E19" s="540">
        <v>0</v>
      </c>
      <c r="F19" s="541">
        <v>0</v>
      </c>
      <c r="G19" s="544">
        <v>0</v>
      </c>
      <c r="H19" s="543"/>
    </row>
    <row r="20" spans="1:8">
      <c r="A20" s="135">
        <v>13</v>
      </c>
      <c r="B20" s="1" t="s">
        <v>247</v>
      </c>
      <c r="C20" s="540">
        <v>0</v>
      </c>
      <c r="D20" s="541">
        <v>0</v>
      </c>
      <c r="E20" s="540">
        <v>0</v>
      </c>
      <c r="F20" s="541">
        <v>0</v>
      </c>
      <c r="G20" s="544">
        <v>0</v>
      </c>
      <c r="H20" s="543"/>
    </row>
    <row r="21" spans="1:8">
      <c r="A21" s="135">
        <v>14</v>
      </c>
      <c r="B21" s="1" t="s">
        <v>108</v>
      </c>
      <c r="C21" s="540">
        <v>67072350.689999968</v>
      </c>
      <c r="D21" s="541">
        <v>0</v>
      </c>
      <c r="E21" s="540">
        <v>0</v>
      </c>
      <c r="F21" s="541">
        <v>33477299.329999976</v>
      </c>
      <c r="G21" s="544">
        <v>33477299.329999976</v>
      </c>
      <c r="H21" s="543">
        <f t="shared" si="0"/>
        <v>0.49912220140796726</v>
      </c>
    </row>
    <row r="22" spans="1:8" ht="13.5" thickBot="1">
      <c r="A22" s="138"/>
      <c r="B22" s="139" t="s">
        <v>109</v>
      </c>
      <c r="C22" s="538">
        <f>SUM(C8:C21)</f>
        <v>1386626950.7899985</v>
      </c>
      <c r="D22" s="224">
        <f>SUM(D8:D21)</f>
        <v>99823097.259999976</v>
      </c>
      <c r="E22" s="224">
        <f>SUM(E8:E21)</f>
        <v>53157829.254999988</v>
      </c>
      <c r="F22" s="224">
        <f>SUM(F8:F21)</f>
        <v>1084613003.4719687</v>
      </c>
      <c r="G22" s="224">
        <f>SUM(G8:G21)</f>
        <v>1047889978.7339687</v>
      </c>
      <c r="H22" s="225">
        <f>G22/(C22+E22)</f>
        <v>0.72781015139027827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193" bestFit="1" customWidth="1"/>
    <col min="2" max="2" width="104.140625" style="193" customWidth="1"/>
    <col min="3" max="4" width="12.7109375" style="193" customWidth="1"/>
    <col min="5" max="5" width="13.5703125" style="193" bestFit="1" customWidth="1"/>
    <col min="6" max="11" width="12.7109375" style="193" customWidth="1"/>
    <col min="12" max="16384" width="9.140625" style="193"/>
  </cols>
  <sheetData>
    <row r="1" spans="1:11">
      <c r="A1" s="193" t="s">
        <v>30</v>
      </c>
      <c r="B1" s="3" t="str">
        <f>'Info '!C2</f>
        <v>Terabank</v>
      </c>
    </row>
    <row r="2" spans="1:11">
      <c r="A2" s="193" t="s">
        <v>31</v>
      </c>
      <c r="B2" s="339">
        <f>'1. key ratios '!B2</f>
        <v>44742</v>
      </c>
    </row>
    <row r="4" spans="1:11" ht="13.5" thickBot="1">
      <c r="A4" s="193" t="s">
        <v>249</v>
      </c>
      <c r="B4" s="259" t="s">
        <v>377</v>
      </c>
    </row>
    <row r="5" spans="1:11" ht="30" customHeight="1">
      <c r="A5" s="667"/>
      <c r="B5" s="668"/>
      <c r="C5" s="669" t="s">
        <v>429</v>
      </c>
      <c r="D5" s="669"/>
      <c r="E5" s="669"/>
      <c r="F5" s="669" t="s">
        <v>430</v>
      </c>
      <c r="G5" s="669"/>
      <c r="H5" s="669"/>
      <c r="I5" s="669" t="s">
        <v>431</v>
      </c>
      <c r="J5" s="669"/>
      <c r="K5" s="670"/>
    </row>
    <row r="6" spans="1:11">
      <c r="A6" s="233"/>
      <c r="B6" s="234"/>
      <c r="C6" s="21" t="s">
        <v>69</v>
      </c>
      <c r="D6" s="21" t="s">
        <v>70</v>
      </c>
      <c r="E6" s="21" t="s">
        <v>71</v>
      </c>
      <c r="F6" s="21" t="s">
        <v>69</v>
      </c>
      <c r="G6" s="21" t="s">
        <v>70</v>
      </c>
      <c r="H6" s="21" t="s">
        <v>71</v>
      </c>
      <c r="I6" s="21" t="s">
        <v>69</v>
      </c>
      <c r="J6" s="21" t="s">
        <v>70</v>
      </c>
      <c r="K6" s="21" t="s">
        <v>71</v>
      </c>
    </row>
    <row r="7" spans="1:11">
      <c r="A7" s="235" t="s">
        <v>380</v>
      </c>
      <c r="B7" s="236"/>
      <c r="C7" s="236"/>
      <c r="D7" s="236"/>
      <c r="E7" s="236"/>
      <c r="F7" s="236"/>
      <c r="G7" s="236"/>
      <c r="H7" s="236"/>
      <c r="I7" s="236"/>
      <c r="J7" s="236"/>
      <c r="K7" s="237"/>
    </row>
    <row r="8" spans="1:11">
      <c r="A8" s="238">
        <v>1</v>
      </c>
      <c r="B8" s="239" t="s">
        <v>378</v>
      </c>
      <c r="C8" s="545"/>
      <c r="D8" s="545"/>
      <c r="E8" s="545"/>
      <c r="F8" s="546">
        <v>74258767.045844436</v>
      </c>
      <c r="G8" s="546">
        <v>147417113.10331002</v>
      </c>
      <c r="H8" s="546">
        <v>221675880.14915442</v>
      </c>
      <c r="I8" s="546">
        <v>70713140.652955547</v>
      </c>
      <c r="J8" s="546">
        <v>135369220.6171878</v>
      </c>
      <c r="K8" s="547">
        <v>206082361.27014333</v>
      </c>
    </row>
    <row r="9" spans="1:11">
      <c r="A9" s="235" t="s">
        <v>381</v>
      </c>
      <c r="B9" s="236"/>
      <c r="C9" s="548"/>
      <c r="D9" s="548"/>
      <c r="E9" s="548"/>
      <c r="F9" s="548"/>
      <c r="G9" s="548"/>
      <c r="H9" s="548"/>
      <c r="I9" s="548"/>
      <c r="J9" s="548"/>
      <c r="K9" s="549"/>
    </row>
    <row r="10" spans="1:11">
      <c r="A10" s="241">
        <v>2</v>
      </c>
      <c r="B10" s="242" t="s">
        <v>389</v>
      </c>
      <c r="C10" s="550">
        <v>82697917.097466484</v>
      </c>
      <c r="D10" s="551">
        <v>314454288.68866825</v>
      </c>
      <c r="E10" s="551">
        <v>397152205.78613472</v>
      </c>
      <c r="F10" s="551">
        <v>14179383.145720076</v>
      </c>
      <c r="G10" s="551">
        <v>62334097.747872442</v>
      </c>
      <c r="H10" s="551">
        <v>76513480.893592522</v>
      </c>
      <c r="I10" s="551">
        <v>3331030.4991196017</v>
      </c>
      <c r="J10" s="551">
        <v>13021363.080809887</v>
      </c>
      <c r="K10" s="552">
        <v>16352393.57992949</v>
      </c>
    </row>
    <row r="11" spans="1:11">
      <c r="A11" s="241">
        <v>3</v>
      </c>
      <c r="B11" s="242" t="s">
        <v>383</v>
      </c>
      <c r="C11" s="550">
        <v>294408547.11728889</v>
      </c>
      <c r="D11" s="551">
        <v>297941055.44809878</v>
      </c>
      <c r="E11" s="551">
        <v>592349602.56538773</v>
      </c>
      <c r="F11" s="551">
        <v>62580487.355555326</v>
      </c>
      <c r="G11" s="551">
        <v>52929972.348202258</v>
      </c>
      <c r="H11" s="551">
        <v>115510459.70375758</v>
      </c>
      <c r="I11" s="551">
        <v>55354984.069633983</v>
      </c>
      <c r="J11" s="551">
        <v>46018627.133178011</v>
      </c>
      <c r="K11" s="552">
        <v>101373611.20281199</v>
      </c>
    </row>
    <row r="12" spans="1:11">
      <c r="A12" s="241">
        <v>4</v>
      </c>
      <c r="B12" s="242" t="s">
        <v>384</v>
      </c>
      <c r="C12" s="550">
        <v>147325555.55555555</v>
      </c>
      <c r="D12" s="551">
        <v>0</v>
      </c>
      <c r="E12" s="551">
        <v>147325555.55555555</v>
      </c>
      <c r="F12" s="551">
        <v>0</v>
      </c>
      <c r="G12" s="551">
        <v>0</v>
      </c>
      <c r="H12" s="551">
        <v>0</v>
      </c>
      <c r="I12" s="551">
        <v>0</v>
      </c>
      <c r="J12" s="551">
        <v>0</v>
      </c>
      <c r="K12" s="552">
        <v>0</v>
      </c>
    </row>
    <row r="13" spans="1:11">
      <c r="A13" s="241">
        <v>5</v>
      </c>
      <c r="B13" s="242" t="s">
        <v>392</v>
      </c>
      <c r="C13" s="550">
        <v>66075487.329666667</v>
      </c>
      <c r="D13" s="551">
        <v>95251600.80336225</v>
      </c>
      <c r="E13" s="551">
        <v>161327088.13302892</v>
      </c>
      <c r="F13" s="551">
        <v>11078120.100135555</v>
      </c>
      <c r="G13" s="551">
        <v>64270331.751834929</v>
      </c>
      <c r="H13" s="551">
        <v>75348451.851970479</v>
      </c>
      <c r="I13" s="551">
        <v>5168907.5020944448</v>
      </c>
      <c r="J13" s="551">
        <v>60685192.106555447</v>
      </c>
      <c r="K13" s="552">
        <v>65854099.608649895</v>
      </c>
    </row>
    <row r="14" spans="1:11">
      <c r="A14" s="241">
        <v>6</v>
      </c>
      <c r="B14" s="242" t="s">
        <v>424</v>
      </c>
      <c r="C14" s="550">
        <v>6365709.9308888884</v>
      </c>
      <c r="D14" s="551">
        <v>8522178.8971088901</v>
      </c>
      <c r="E14" s="551">
        <v>14887888.827997778</v>
      </c>
      <c r="F14" s="551">
        <v>0</v>
      </c>
      <c r="G14" s="551">
        <v>0</v>
      </c>
      <c r="H14" s="551">
        <v>0</v>
      </c>
      <c r="I14" s="551">
        <v>0</v>
      </c>
      <c r="J14" s="551">
        <v>0</v>
      </c>
      <c r="K14" s="552">
        <v>0</v>
      </c>
    </row>
    <row r="15" spans="1:11">
      <c r="A15" s="241">
        <v>7</v>
      </c>
      <c r="B15" s="242" t="s">
        <v>425</v>
      </c>
      <c r="C15" s="550">
        <v>7241995.4132222254</v>
      </c>
      <c r="D15" s="551">
        <v>5839042.8000977784</v>
      </c>
      <c r="E15" s="551">
        <v>13081038.213320004</v>
      </c>
      <c r="F15" s="551">
        <v>2485007.5053333337</v>
      </c>
      <c r="G15" s="551">
        <v>2674376.2702566669</v>
      </c>
      <c r="H15" s="551">
        <v>5159383.7755900007</v>
      </c>
      <c r="I15" s="551">
        <v>2485007.5053333337</v>
      </c>
      <c r="J15" s="551">
        <v>2674376.2702566669</v>
      </c>
      <c r="K15" s="552">
        <v>5159383.7755900007</v>
      </c>
    </row>
    <row r="16" spans="1:11">
      <c r="A16" s="241">
        <v>8</v>
      </c>
      <c r="B16" s="243" t="s">
        <v>385</v>
      </c>
      <c r="C16" s="550">
        <v>604115212.44408858</v>
      </c>
      <c r="D16" s="551">
        <v>722008166.63733602</v>
      </c>
      <c r="E16" s="551">
        <v>1326123379.0814247</v>
      </c>
      <c r="F16" s="551">
        <v>90322998.106744289</v>
      </c>
      <c r="G16" s="551">
        <v>182208778.1181663</v>
      </c>
      <c r="H16" s="551">
        <v>272531776.22491062</v>
      </c>
      <c r="I16" s="551">
        <v>66339929.576181367</v>
      </c>
      <c r="J16" s="551">
        <v>122399558.59080002</v>
      </c>
      <c r="K16" s="552">
        <v>188739488.1669814</v>
      </c>
    </row>
    <row r="17" spans="1:11">
      <c r="A17" s="235" t="s">
        <v>382</v>
      </c>
      <c r="B17" s="236"/>
      <c r="C17" s="553"/>
      <c r="D17" s="553"/>
      <c r="E17" s="553"/>
      <c r="F17" s="553"/>
      <c r="G17" s="553"/>
      <c r="H17" s="553"/>
      <c r="I17" s="553"/>
      <c r="J17" s="553"/>
      <c r="K17" s="237"/>
    </row>
    <row r="18" spans="1:11">
      <c r="A18" s="241">
        <v>9</v>
      </c>
      <c r="B18" s="242" t="s">
        <v>388</v>
      </c>
      <c r="C18" s="550">
        <v>0</v>
      </c>
      <c r="D18" s="551">
        <v>0</v>
      </c>
      <c r="E18" s="551">
        <v>0</v>
      </c>
      <c r="F18" s="551">
        <v>0</v>
      </c>
      <c r="G18" s="551">
        <v>0</v>
      </c>
      <c r="H18" s="551">
        <v>0</v>
      </c>
      <c r="I18" s="551">
        <v>0</v>
      </c>
      <c r="J18" s="551">
        <v>0</v>
      </c>
      <c r="K18" s="552">
        <v>0</v>
      </c>
    </row>
    <row r="19" spans="1:11">
      <c r="A19" s="241">
        <v>10</v>
      </c>
      <c r="B19" s="242" t="s">
        <v>426</v>
      </c>
      <c r="C19" s="550">
        <v>389351409.21033394</v>
      </c>
      <c r="D19" s="551">
        <v>437747814.60395116</v>
      </c>
      <c r="E19" s="551">
        <v>827099223.81428504</v>
      </c>
      <c r="F19" s="551">
        <v>20203494.135388888</v>
      </c>
      <c r="G19" s="551">
        <v>6229788.7257222217</v>
      </c>
      <c r="H19" s="551">
        <v>26433282.861111112</v>
      </c>
      <c r="I19" s="551">
        <v>23749142.174944445</v>
      </c>
      <c r="J19" s="551">
        <v>18906260.323451109</v>
      </c>
      <c r="K19" s="552">
        <v>42655402.498395555</v>
      </c>
    </row>
    <row r="20" spans="1:11">
      <c r="A20" s="241">
        <v>11</v>
      </c>
      <c r="B20" s="242" t="s">
        <v>387</v>
      </c>
      <c r="C20" s="550">
        <v>15143112.701266671</v>
      </c>
      <c r="D20" s="551">
        <v>60295581.145974442</v>
      </c>
      <c r="E20" s="551">
        <v>75438693.847241119</v>
      </c>
      <c r="F20" s="551">
        <v>6167652.1697111111</v>
      </c>
      <c r="G20" s="551">
        <v>59446114.280760005</v>
      </c>
      <c r="H20" s="551">
        <v>65613766.450471118</v>
      </c>
      <c r="I20" s="551">
        <v>6167652.1697111111</v>
      </c>
      <c r="J20" s="551">
        <v>59446114.280760005</v>
      </c>
      <c r="K20" s="552">
        <v>65613766.450471118</v>
      </c>
    </row>
    <row r="21" spans="1:11" ht="13.5" thickBot="1">
      <c r="A21" s="244">
        <v>12</v>
      </c>
      <c r="B21" s="245" t="s">
        <v>386</v>
      </c>
      <c r="C21" s="554">
        <v>404494521.91160059</v>
      </c>
      <c r="D21" s="555">
        <v>498043395.74992561</v>
      </c>
      <c r="E21" s="554">
        <v>902537917.6615262</v>
      </c>
      <c r="F21" s="555">
        <v>26371146.305100001</v>
      </c>
      <c r="G21" s="555">
        <v>65675903.006482229</v>
      </c>
      <c r="H21" s="555">
        <v>92047049.311582237</v>
      </c>
      <c r="I21" s="555">
        <v>29916794.344655558</v>
      </c>
      <c r="J21" s="555">
        <v>78352374.604211122</v>
      </c>
      <c r="K21" s="556">
        <v>108269168.94886668</v>
      </c>
    </row>
    <row r="22" spans="1:11" ht="38.25" customHeight="1" thickBot="1">
      <c r="A22" s="246"/>
      <c r="B22" s="247"/>
      <c r="C22" s="247"/>
      <c r="D22" s="247"/>
      <c r="E22" s="247"/>
      <c r="F22" s="671" t="s">
        <v>428</v>
      </c>
      <c r="G22" s="669"/>
      <c r="H22" s="669"/>
      <c r="I22" s="671" t="s">
        <v>393</v>
      </c>
      <c r="J22" s="669"/>
      <c r="K22" s="670"/>
    </row>
    <row r="23" spans="1:11">
      <c r="A23" s="248">
        <v>13</v>
      </c>
      <c r="B23" s="249" t="s">
        <v>378</v>
      </c>
      <c r="C23" s="250"/>
      <c r="D23" s="250"/>
      <c r="E23" s="250"/>
      <c r="F23" s="557">
        <v>74258767.045844436</v>
      </c>
      <c r="G23" s="557">
        <v>147417113.10331002</v>
      </c>
      <c r="H23" s="557">
        <v>221675880.14915442</v>
      </c>
      <c r="I23" s="557">
        <v>70713140.652955547</v>
      </c>
      <c r="J23" s="557">
        <v>135369220.6171878</v>
      </c>
      <c r="K23" s="558">
        <v>206082361.27014333</v>
      </c>
    </row>
    <row r="24" spans="1:11" ht="13.5" thickBot="1">
      <c r="A24" s="251">
        <v>14</v>
      </c>
      <c r="B24" s="252" t="s">
        <v>390</v>
      </c>
      <c r="C24" s="253"/>
      <c r="D24" s="254"/>
      <c r="E24" s="255"/>
      <c r="F24" s="559">
        <v>63951851.801644288</v>
      </c>
      <c r="G24" s="559">
        <v>116532875.11168407</v>
      </c>
      <c r="H24" s="559">
        <v>180484726.91332838</v>
      </c>
      <c r="I24" s="559">
        <v>36423135.231525809</v>
      </c>
      <c r="J24" s="559">
        <v>44047183.986588895</v>
      </c>
      <c r="K24" s="560">
        <v>80470319.218114719</v>
      </c>
    </row>
    <row r="25" spans="1:11" ht="13.5" thickBot="1">
      <c r="A25" s="256">
        <v>15</v>
      </c>
      <c r="B25" s="257" t="s">
        <v>391</v>
      </c>
      <c r="C25" s="258"/>
      <c r="D25" s="258"/>
      <c r="E25" s="258"/>
      <c r="F25" s="561">
        <v>1.1611667989875962</v>
      </c>
      <c r="G25" s="561">
        <v>1.2650259676681517</v>
      </c>
      <c r="H25" s="561">
        <v>1.2282251464724032</v>
      </c>
      <c r="I25" s="562">
        <v>1.9414347557798992</v>
      </c>
      <c r="J25" s="562">
        <v>3.0732775257188711</v>
      </c>
      <c r="K25" s="563">
        <v>2.5609735772460067</v>
      </c>
    </row>
    <row r="27" spans="1:11" ht="25.5">
      <c r="B27" s="232"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H41" sqref="H41"/>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c r="A1" s="4" t="s">
        <v>30</v>
      </c>
      <c r="B1" s="3" t="str">
        <f>'Info '!C2</f>
        <v>Terabank</v>
      </c>
    </row>
    <row r="2" spans="1:14" ht="14.25" customHeight="1">
      <c r="A2" s="4" t="s">
        <v>31</v>
      </c>
      <c r="B2" s="339">
        <f>'1. key ratios '!B2</f>
        <v>44742</v>
      </c>
    </row>
    <row r="3" spans="1:14" ht="14.25" customHeight="1"/>
    <row r="4" spans="1:14" ht="13.5" thickBot="1">
      <c r="A4" s="4" t="s">
        <v>265</v>
      </c>
      <c r="B4" s="187" t="s">
        <v>28</v>
      </c>
    </row>
    <row r="5" spans="1:14" s="144" customFormat="1">
      <c r="A5" s="140"/>
      <c r="B5" s="141"/>
      <c r="C5" s="142" t="s">
        <v>0</v>
      </c>
      <c r="D5" s="142" t="s">
        <v>1</v>
      </c>
      <c r="E5" s="142" t="s">
        <v>2</v>
      </c>
      <c r="F5" s="142" t="s">
        <v>3</v>
      </c>
      <c r="G5" s="142" t="s">
        <v>4</v>
      </c>
      <c r="H5" s="142" t="s">
        <v>5</v>
      </c>
      <c r="I5" s="142" t="s">
        <v>8</v>
      </c>
      <c r="J5" s="142" t="s">
        <v>9</v>
      </c>
      <c r="K5" s="142" t="s">
        <v>10</v>
      </c>
      <c r="L5" s="142" t="s">
        <v>11</v>
      </c>
      <c r="M5" s="142" t="s">
        <v>12</v>
      </c>
      <c r="N5" s="143" t="s">
        <v>13</v>
      </c>
    </row>
    <row r="6" spans="1:14" ht="25.5">
      <c r="A6" s="145"/>
      <c r="B6" s="146"/>
      <c r="C6" s="147" t="s">
        <v>264</v>
      </c>
      <c r="D6" s="148" t="s">
        <v>263</v>
      </c>
      <c r="E6" s="149" t="s">
        <v>262</v>
      </c>
      <c r="F6" s="150">
        <v>0</v>
      </c>
      <c r="G6" s="150">
        <v>0.2</v>
      </c>
      <c r="H6" s="150">
        <v>0.35</v>
      </c>
      <c r="I6" s="150">
        <v>0.5</v>
      </c>
      <c r="J6" s="150">
        <v>0.75</v>
      </c>
      <c r="K6" s="150">
        <v>1</v>
      </c>
      <c r="L6" s="150">
        <v>1.5</v>
      </c>
      <c r="M6" s="150">
        <v>2.5</v>
      </c>
      <c r="N6" s="186" t="s">
        <v>276</v>
      </c>
    </row>
    <row r="7" spans="1:14" ht="15.75">
      <c r="A7" s="151">
        <v>1</v>
      </c>
      <c r="B7" s="152" t="s">
        <v>261</v>
      </c>
      <c r="C7" s="564">
        <f>SUM(C8:C13)</f>
        <v>65667999.719999999</v>
      </c>
      <c r="D7" s="565"/>
      <c r="E7" s="566">
        <f t="shared" ref="E7:M7" si="0">SUM(E8:E13)</f>
        <v>1313359.9944</v>
      </c>
      <c r="F7" s="566">
        <f>SUM(F8:F13)</f>
        <v>0</v>
      </c>
      <c r="G7" s="566">
        <f t="shared" si="0"/>
        <v>0</v>
      </c>
      <c r="H7" s="566">
        <f t="shared" si="0"/>
        <v>0</v>
      </c>
      <c r="I7" s="566">
        <f t="shared" si="0"/>
        <v>0</v>
      </c>
      <c r="J7" s="566">
        <f t="shared" si="0"/>
        <v>0</v>
      </c>
      <c r="K7" s="566">
        <f t="shared" si="0"/>
        <v>1313359.9944</v>
      </c>
      <c r="L7" s="566">
        <f t="shared" si="0"/>
        <v>0</v>
      </c>
      <c r="M7" s="566">
        <f t="shared" si="0"/>
        <v>0</v>
      </c>
      <c r="N7" s="567">
        <f>SUM(N8:N13)</f>
        <v>1313359.9944</v>
      </c>
    </row>
    <row r="8" spans="1:14" ht="15">
      <c r="A8" s="151">
        <v>1.1000000000000001</v>
      </c>
      <c r="B8" s="153" t="s">
        <v>259</v>
      </c>
      <c r="C8" s="568">
        <v>65667999.719999999</v>
      </c>
      <c r="D8" s="569">
        <v>0.02</v>
      </c>
      <c r="E8" s="566">
        <f>C8*D8</f>
        <v>1313359.9944</v>
      </c>
      <c r="F8" s="570">
        <v>0</v>
      </c>
      <c r="G8" s="570">
        <v>0</v>
      </c>
      <c r="H8" s="570">
        <v>0</v>
      </c>
      <c r="I8" s="570">
        <v>0</v>
      </c>
      <c r="J8" s="570">
        <v>0</v>
      </c>
      <c r="K8" s="570">
        <v>1313359.9944</v>
      </c>
      <c r="L8" s="570">
        <v>0</v>
      </c>
      <c r="M8" s="570">
        <v>0</v>
      </c>
      <c r="N8" s="567">
        <f>SUMPRODUCT($F$6:$M$6,F8:M8)</f>
        <v>1313359.9944</v>
      </c>
    </row>
    <row r="9" spans="1:14" ht="15">
      <c r="A9" s="151">
        <v>1.2</v>
      </c>
      <c r="B9" s="153" t="s">
        <v>258</v>
      </c>
      <c r="C9" s="570">
        <v>0</v>
      </c>
      <c r="D9" s="569">
        <v>0.05</v>
      </c>
      <c r="E9" s="566">
        <f>C9*D9</f>
        <v>0</v>
      </c>
      <c r="F9" s="570">
        <v>0</v>
      </c>
      <c r="G9" s="570">
        <v>0</v>
      </c>
      <c r="H9" s="570">
        <v>0</v>
      </c>
      <c r="I9" s="570">
        <v>0</v>
      </c>
      <c r="J9" s="570">
        <v>0</v>
      </c>
      <c r="K9" s="570">
        <v>0</v>
      </c>
      <c r="L9" s="570">
        <v>0</v>
      </c>
      <c r="M9" s="570">
        <v>0</v>
      </c>
      <c r="N9" s="567">
        <f t="shared" ref="N9:N12" si="1">SUMPRODUCT($F$6:$M$6,F9:M9)</f>
        <v>0</v>
      </c>
    </row>
    <row r="10" spans="1:14" ht="15">
      <c r="A10" s="151">
        <v>1.3</v>
      </c>
      <c r="B10" s="153" t="s">
        <v>257</v>
      </c>
      <c r="C10" s="570">
        <v>0</v>
      </c>
      <c r="D10" s="569">
        <v>0.08</v>
      </c>
      <c r="E10" s="566">
        <f>C10*D10</f>
        <v>0</v>
      </c>
      <c r="F10" s="570">
        <v>0</v>
      </c>
      <c r="G10" s="570">
        <v>0</v>
      </c>
      <c r="H10" s="570">
        <v>0</v>
      </c>
      <c r="I10" s="570">
        <v>0</v>
      </c>
      <c r="J10" s="570">
        <v>0</v>
      </c>
      <c r="K10" s="570">
        <v>0</v>
      </c>
      <c r="L10" s="570">
        <v>0</v>
      </c>
      <c r="M10" s="570">
        <v>0</v>
      </c>
      <c r="N10" s="567">
        <f>SUMPRODUCT($F$6:$M$6,F10:M10)</f>
        <v>0</v>
      </c>
    </row>
    <row r="11" spans="1:14" ht="15">
      <c r="A11" s="151">
        <v>1.4</v>
      </c>
      <c r="B11" s="153" t="s">
        <v>256</v>
      </c>
      <c r="C11" s="570">
        <v>0</v>
      </c>
      <c r="D11" s="569">
        <v>0.11</v>
      </c>
      <c r="E11" s="566">
        <f>C11*D11</f>
        <v>0</v>
      </c>
      <c r="F11" s="570">
        <v>0</v>
      </c>
      <c r="G11" s="570">
        <v>0</v>
      </c>
      <c r="H11" s="570">
        <v>0</v>
      </c>
      <c r="I11" s="570">
        <v>0</v>
      </c>
      <c r="J11" s="570">
        <v>0</v>
      </c>
      <c r="K11" s="570">
        <v>0</v>
      </c>
      <c r="L11" s="570">
        <v>0</v>
      </c>
      <c r="M11" s="570">
        <v>0</v>
      </c>
      <c r="N11" s="567">
        <f t="shared" si="1"/>
        <v>0</v>
      </c>
    </row>
    <row r="12" spans="1:14" ht="15">
      <c r="A12" s="151">
        <v>1.5</v>
      </c>
      <c r="B12" s="153" t="s">
        <v>255</v>
      </c>
      <c r="C12" s="570">
        <v>0</v>
      </c>
      <c r="D12" s="569">
        <v>0.14000000000000001</v>
      </c>
      <c r="E12" s="566">
        <f>C12*D12</f>
        <v>0</v>
      </c>
      <c r="F12" s="570">
        <v>0</v>
      </c>
      <c r="G12" s="570">
        <v>0</v>
      </c>
      <c r="H12" s="570">
        <v>0</v>
      </c>
      <c r="I12" s="570">
        <v>0</v>
      </c>
      <c r="J12" s="570">
        <v>0</v>
      </c>
      <c r="K12" s="570">
        <v>0</v>
      </c>
      <c r="L12" s="570">
        <v>0</v>
      </c>
      <c r="M12" s="570">
        <v>0</v>
      </c>
      <c r="N12" s="567">
        <f t="shared" si="1"/>
        <v>0</v>
      </c>
    </row>
    <row r="13" spans="1:14" ht="15">
      <c r="A13" s="151">
        <v>1.6</v>
      </c>
      <c r="B13" s="154" t="s">
        <v>254</v>
      </c>
      <c r="C13" s="570">
        <v>0</v>
      </c>
      <c r="D13" s="571"/>
      <c r="E13" s="568"/>
      <c r="F13" s="570">
        <v>0</v>
      </c>
      <c r="G13" s="570">
        <v>0</v>
      </c>
      <c r="H13" s="570">
        <v>0</v>
      </c>
      <c r="I13" s="570">
        <v>0</v>
      </c>
      <c r="J13" s="570">
        <v>0</v>
      </c>
      <c r="K13" s="570">
        <v>0</v>
      </c>
      <c r="L13" s="570">
        <v>0</v>
      </c>
      <c r="M13" s="570">
        <v>0</v>
      </c>
      <c r="N13" s="567">
        <f>SUMPRODUCT($F$6:$M$6,F13:M13)</f>
        <v>0</v>
      </c>
    </row>
    <row r="14" spans="1:14" ht="15.75">
      <c r="A14" s="151">
        <v>2</v>
      </c>
      <c r="B14" s="155" t="s">
        <v>260</v>
      </c>
      <c r="C14" s="566">
        <f>SUM(C15:C20)</f>
        <v>0</v>
      </c>
      <c r="D14" s="570"/>
      <c r="E14" s="566">
        <f t="shared" ref="E14:M14" si="2">SUM(E15:E20)</f>
        <v>0</v>
      </c>
      <c r="F14" s="570">
        <f t="shared" si="2"/>
        <v>0</v>
      </c>
      <c r="G14" s="570">
        <f t="shared" si="2"/>
        <v>0</v>
      </c>
      <c r="H14" s="570">
        <f t="shared" si="2"/>
        <v>0</v>
      </c>
      <c r="I14" s="570">
        <f t="shared" si="2"/>
        <v>0</v>
      </c>
      <c r="J14" s="570">
        <f t="shared" si="2"/>
        <v>0</v>
      </c>
      <c r="K14" s="570">
        <f t="shared" si="2"/>
        <v>0</v>
      </c>
      <c r="L14" s="570">
        <f t="shared" si="2"/>
        <v>0</v>
      </c>
      <c r="M14" s="570">
        <f t="shared" si="2"/>
        <v>0</v>
      </c>
      <c r="N14" s="567">
        <f>SUM(N15:N20)</f>
        <v>0</v>
      </c>
    </row>
    <row r="15" spans="1:14" ht="15">
      <c r="A15" s="151">
        <v>2.1</v>
      </c>
      <c r="B15" s="154" t="s">
        <v>259</v>
      </c>
      <c r="C15" s="570">
        <v>0</v>
      </c>
      <c r="D15" s="569">
        <v>5.0000000000000001E-3</v>
      </c>
      <c r="E15" s="566">
        <f>C15*D15</f>
        <v>0</v>
      </c>
      <c r="F15" s="570">
        <v>0</v>
      </c>
      <c r="G15" s="570">
        <v>0</v>
      </c>
      <c r="H15" s="570">
        <v>0</v>
      </c>
      <c r="I15" s="570">
        <v>0</v>
      </c>
      <c r="J15" s="570">
        <v>0</v>
      </c>
      <c r="K15" s="570">
        <v>0</v>
      </c>
      <c r="L15" s="570">
        <v>0</v>
      </c>
      <c r="M15" s="570">
        <v>0</v>
      </c>
      <c r="N15" s="567">
        <f>SUMPRODUCT($F$6:$M$6,F15:M15)</f>
        <v>0</v>
      </c>
    </row>
    <row r="16" spans="1:14" ht="15">
      <c r="A16" s="151">
        <v>2.2000000000000002</v>
      </c>
      <c r="B16" s="154" t="s">
        <v>258</v>
      </c>
      <c r="C16" s="570">
        <v>0</v>
      </c>
      <c r="D16" s="569">
        <v>0.01</v>
      </c>
      <c r="E16" s="566">
        <f>C16*D16</f>
        <v>0</v>
      </c>
      <c r="F16" s="570">
        <v>0</v>
      </c>
      <c r="G16" s="570">
        <v>0</v>
      </c>
      <c r="H16" s="570">
        <v>0</v>
      </c>
      <c r="I16" s="570">
        <v>0</v>
      </c>
      <c r="J16" s="570">
        <v>0</v>
      </c>
      <c r="K16" s="570">
        <v>0</v>
      </c>
      <c r="L16" s="570">
        <v>0</v>
      </c>
      <c r="M16" s="570">
        <v>0</v>
      </c>
      <c r="N16" s="567">
        <f t="shared" ref="N16:N20" si="3">SUMPRODUCT($F$6:$M$6,F16:M16)</f>
        <v>0</v>
      </c>
    </row>
    <row r="17" spans="1:14" ht="15">
      <c r="A17" s="151">
        <v>2.2999999999999998</v>
      </c>
      <c r="B17" s="154" t="s">
        <v>257</v>
      </c>
      <c r="C17" s="570">
        <v>0</v>
      </c>
      <c r="D17" s="569">
        <v>0.02</v>
      </c>
      <c r="E17" s="566">
        <f>C17*D17</f>
        <v>0</v>
      </c>
      <c r="F17" s="570">
        <v>0</v>
      </c>
      <c r="G17" s="570">
        <v>0</v>
      </c>
      <c r="H17" s="570">
        <v>0</v>
      </c>
      <c r="I17" s="570">
        <v>0</v>
      </c>
      <c r="J17" s="570">
        <v>0</v>
      </c>
      <c r="K17" s="570">
        <v>0</v>
      </c>
      <c r="L17" s="570">
        <v>0</v>
      </c>
      <c r="M17" s="570">
        <v>0</v>
      </c>
      <c r="N17" s="567">
        <f t="shared" si="3"/>
        <v>0</v>
      </c>
    </row>
    <row r="18" spans="1:14" ht="15">
      <c r="A18" s="151">
        <v>2.4</v>
      </c>
      <c r="B18" s="154" t="s">
        <v>256</v>
      </c>
      <c r="C18" s="570">
        <v>0</v>
      </c>
      <c r="D18" s="569">
        <v>0.03</v>
      </c>
      <c r="E18" s="566">
        <f>C18*D18</f>
        <v>0</v>
      </c>
      <c r="F18" s="570">
        <v>0</v>
      </c>
      <c r="G18" s="570">
        <v>0</v>
      </c>
      <c r="H18" s="570">
        <v>0</v>
      </c>
      <c r="I18" s="570">
        <v>0</v>
      </c>
      <c r="J18" s="570">
        <v>0</v>
      </c>
      <c r="K18" s="570">
        <v>0</v>
      </c>
      <c r="L18" s="570">
        <v>0</v>
      </c>
      <c r="M18" s="570">
        <v>0</v>
      </c>
      <c r="N18" s="567">
        <f t="shared" si="3"/>
        <v>0</v>
      </c>
    </row>
    <row r="19" spans="1:14" ht="15">
      <c r="A19" s="151">
        <v>2.5</v>
      </c>
      <c r="B19" s="154" t="s">
        <v>255</v>
      </c>
      <c r="C19" s="570">
        <v>0</v>
      </c>
      <c r="D19" s="569">
        <v>0.04</v>
      </c>
      <c r="E19" s="566">
        <f>C19*D19</f>
        <v>0</v>
      </c>
      <c r="F19" s="570">
        <v>0</v>
      </c>
      <c r="G19" s="570">
        <v>0</v>
      </c>
      <c r="H19" s="570">
        <v>0</v>
      </c>
      <c r="I19" s="570">
        <v>0</v>
      </c>
      <c r="J19" s="570">
        <v>0</v>
      </c>
      <c r="K19" s="570">
        <v>0</v>
      </c>
      <c r="L19" s="570">
        <v>0</v>
      </c>
      <c r="M19" s="570">
        <v>0</v>
      </c>
      <c r="N19" s="567">
        <f t="shared" si="3"/>
        <v>0</v>
      </c>
    </row>
    <row r="20" spans="1:14" ht="15">
      <c r="A20" s="151">
        <v>2.6</v>
      </c>
      <c r="B20" s="154" t="s">
        <v>254</v>
      </c>
      <c r="C20" s="570">
        <v>0</v>
      </c>
      <c r="D20" s="571"/>
      <c r="E20" s="572"/>
      <c r="F20" s="570">
        <v>0</v>
      </c>
      <c r="G20" s="570">
        <v>0</v>
      </c>
      <c r="H20" s="570">
        <v>0</v>
      </c>
      <c r="I20" s="570">
        <v>0</v>
      </c>
      <c r="J20" s="570">
        <v>0</v>
      </c>
      <c r="K20" s="570">
        <v>0</v>
      </c>
      <c r="L20" s="570">
        <v>0</v>
      </c>
      <c r="M20" s="570">
        <v>0</v>
      </c>
      <c r="N20" s="567">
        <f t="shared" si="3"/>
        <v>0</v>
      </c>
    </row>
    <row r="21" spans="1:14" ht="16.5" thickBot="1">
      <c r="A21" s="156"/>
      <c r="B21" s="157" t="s">
        <v>109</v>
      </c>
      <c r="C21" s="573">
        <f>C14+C7</f>
        <v>65667999.719999999</v>
      </c>
      <c r="D21" s="573"/>
      <c r="E21" s="573">
        <f>E14+E7</f>
        <v>1313359.9944</v>
      </c>
      <c r="F21" s="574">
        <f>F7+F14</f>
        <v>0</v>
      </c>
      <c r="G21" s="574">
        <f t="shared" ref="G21:L21" si="4">G7+G14</f>
        <v>0</v>
      </c>
      <c r="H21" s="574">
        <f t="shared" si="4"/>
        <v>0</v>
      </c>
      <c r="I21" s="574">
        <f t="shared" si="4"/>
        <v>0</v>
      </c>
      <c r="J21" s="574">
        <f t="shared" si="4"/>
        <v>0</v>
      </c>
      <c r="K21" s="574">
        <f t="shared" si="4"/>
        <v>1313359.9944</v>
      </c>
      <c r="L21" s="574">
        <f t="shared" si="4"/>
        <v>0</v>
      </c>
      <c r="M21" s="574">
        <f>M7+M14</f>
        <v>0</v>
      </c>
      <c r="N21" s="575">
        <f>N14+N7</f>
        <v>1313359.9944</v>
      </c>
    </row>
    <row r="22" spans="1:14">
      <c r="E22" s="158"/>
      <c r="F22" s="158"/>
      <c r="G22" s="158"/>
      <c r="H22" s="158"/>
      <c r="I22" s="158"/>
      <c r="J22" s="158"/>
      <c r="K22" s="158"/>
      <c r="L22" s="158"/>
      <c r="M22" s="15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0" zoomScale="90" zoomScaleNormal="90" workbookViewId="0">
      <selection activeCell="C37" sqref="C37"/>
    </sheetView>
  </sheetViews>
  <sheetFormatPr defaultRowHeight="15"/>
  <cols>
    <col min="1" max="1" width="11.42578125" customWidth="1"/>
    <col min="2" max="2" width="76.85546875" style="288" customWidth="1"/>
    <col min="3" max="3" width="22.85546875" customWidth="1"/>
  </cols>
  <sheetData>
    <row r="1" spans="1:3">
      <c r="A1" s="2" t="s">
        <v>30</v>
      </c>
      <c r="B1" s="3" t="str">
        <f>'Info '!C2</f>
        <v>Terabank</v>
      </c>
    </row>
    <row r="2" spans="1:3">
      <c r="A2" s="2" t="s">
        <v>31</v>
      </c>
      <c r="B2" s="339">
        <f>'1. key ratios '!B2</f>
        <v>44742</v>
      </c>
    </row>
    <row r="3" spans="1:3">
      <c r="A3" s="4"/>
      <c r="B3"/>
    </row>
    <row r="4" spans="1:3">
      <c r="A4" s="4" t="s">
        <v>432</v>
      </c>
      <c r="B4" t="s">
        <v>433</v>
      </c>
    </row>
    <row r="5" spans="1:3">
      <c r="A5" s="289" t="s">
        <v>434</v>
      </c>
      <c r="B5" s="290"/>
      <c r="C5" s="291"/>
    </row>
    <row r="6" spans="1:3" ht="24">
      <c r="A6" s="292">
        <v>1</v>
      </c>
      <c r="B6" s="293" t="s">
        <v>485</v>
      </c>
      <c r="C6" s="576">
        <v>1372879880.1799984</v>
      </c>
    </row>
    <row r="7" spans="1:3">
      <c r="A7" s="292">
        <v>2</v>
      </c>
      <c r="B7" s="293" t="s">
        <v>435</v>
      </c>
      <c r="C7" s="577">
        <v>-23650895.870000001</v>
      </c>
    </row>
    <row r="8" spans="1:3" ht="24">
      <c r="A8" s="294">
        <v>3</v>
      </c>
      <c r="B8" s="295" t="s">
        <v>436</v>
      </c>
      <c r="C8" s="578">
        <f>C6+C7</f>
        <v>1349228984.3099985</v>
      </c>
    </row>
    <row r="9" spans="1:3">
      <c r="A9" s="289" t="s">
        <v>437</v>
      </c>
      <c r="B9" s="290"/>
      <c r="C9" s="579"/>
    </row>
    <row r="10" spans="1:3" ht="24">
      <c r="A10" s="296">
        <v>4</v>
      </c>
      <c r="B10" s="297" t="s">
        <v>438</v>
      </c>
      <c r="C10" s="577">
        <v>0</v>
      </c>
    </row>
    <row r="11" spans="1:3">
      <c r="A11" s="296">
        <v>5</v>
      </c>
      <c r="B11" s="298" t="s">
        <v>439</v>
      </c>
      <c r="C11" s="577">
        <v>0</v>
      </c>
    </row>
    <row r="12" spans="1:3">
      <c r="A12" s="296" t="s">
        <v>440</v>
      </c>
      <c r="B12" s="298" t="s">
        <v>441</v>
      </c>
      <c r="C12" s="578">
        <v>1313359.9944</v>
      </c>
    </row>
    <row r="13" spans="1:3" ht="24">
      <c r="A13" s="299">
        <v>6</v>
      </c>
      <c r="B13" s="297" t="s">
        <v>442</v>
      </c>
      <c r="C13" s="577">
        <v>0</v>
      </c>
    </row>
    <row r="14" spans="1:3">
      <c r="A14" s="299">
        <v>7</v>
      </c>
      <c r="B14" s="300" t="s">
        <v>443</v>
      </c>
      <c r="C14" s="577">
        <v>0</v>
      </c>
    </row>
    <row r="15" spans="1:3">
      <c r="A15" s="301">
        <v>8</v>
      </c>
      <c r="B15" s="302" t="s">
        <v>444</v>
      </c>
      <c r="C15" s="577">
        <v>0</v>
      </c>
    </row>
    <row r="16" spans="1:3">
      <c r="A16" s="299">
        <v>9</v>
      </c>
      <c r="B16" s="300" t="s">
        <v>445</v>
      </c>
      <c r="C16" s="577">
        <v>0</v>
      </c>
    </row>
    <row r="17" spans="1:3">
      <c r="A17" s="299">
        <v>10</v>
      </c>
      <c r="B17" s="300" t="s">
        <v>446</v>
      </c>
      <c r="C17" s="577">
        <v>0</v>
      </c>
    </row>
    <row r="18" spans="1:3">
      <c r="A18" s="303">
        <v>11</v>
      </c>
      <c r="B18" s="304" t="s">
        <v>447</v>
      </c>
      <c r="C18" s="578">
        <f>SUM(C10:C17)</f>
        <v>1313359.9944</v>
      </c>
    </row>
    <row r="19" spans="1:3">
      <c r="A19" s="305" t="s">
        <v>448</v>
      </c>
      <c r="B19" s="306"/>
      <c r="C19" s="580"/>
    </row>
    <row r="20" spans="1:3" ht="24">
      <c r="A20" s="307">
        <v>12</v>
      </c>
      <c r="B20" s="297" t="s">
        <v>449</v>
      </c>
      <c r="C20" s="577">
        <v>0</v>
      </c>
    </row>
    <row r="21" spans="1:3">
      <c r="A21" s="307">
        <v>13</v>
      </c>
      <c r="B21" s="297" t="s">
        <v>450</v>
      </c>
      <c r="C21" s="577">
        <v>0</v>
      </c>
    </row>
    <row r="22" spans="1:3">
      <c r="A22" s="307">
        <v>14</v>
      </c>
      <c r="B22" s="297" t="s">
        <v>451</v>
      </c>
      <c r="C22" s="577">
        <v>0</v>
      </c>
    </row>
    <row r="23" spans="1:3" ht="24">
      <c r="A23" s="307" t="s">
        <v>452</v>
      </c>
      <c r="B23" s="297" t="s">
        <v>453</v>
      </c>
      <c r="C23" s="577">
        <v>0</v>
      </c>
    </row>
    <row r="24" spans="1:3">
      <c r="A24" s="307">
        <v>15</v>
      </c>
      <c r="B24" s="297" t="s">
        <v>454</v>
      </c>
      <c r="C24" s="577">
        <v>0</v>
      </c>
    </row>
    <row r="25" spans="1:3">
      <c r="A25" s="307" t="s">
        <v>455</v>
      </c>
      <c r="B25" s="297" t="s">
        <v>456</v>
      </c>
      <c r="C25" s="577">
        <v>0</v>
      </c>
    </row>
    <row r="26" spans="1:3">
      <c r="A26" s="308">
        <v>16</v>
      </c>
      <c r="B26" s="309" t="s">
        <v>457</v>
      </c>
      <c r="C26" s="578">
        <f>SUM(C20:C25)</f>
        <v>0</v>
      </c>
    </row>
    <row r="27" spans="1:3">
      <c r="A27" s="289" t="s">
        <v>458</v>
      </c>
      <c r="B27" s="290"/>
      <c r="C27" s="579"/>
    </row>
    <row r="28" spans="1:3">
      <c r="A28" s="310">
        <v>17</v>
      </c>
      <c r="B28" s="298" t="s">
        <v>459</v>
      </c>
      <c r="C28" s="577">
        <v>99823097.260000005</v>
      </c>
    </row>
    <row r="29" spans="1:3">
      <c r="A29" s="310">
        <v>18</v>
      </c>
      <c r="B29" s="298" t="s">
        <v>460</v>
      </c>
      <c r="C29" s="577">
        <v>-46665268.005000062</v>
      </c>
    </row>
    <row r="30" spans="1:3">
      <c r="A30" s="308">
        <v>19</v>
      </c>
      <c r="B30" s="309" t="s">
        <v>461</v>
      </c>
      <c r="C30" s="578">
        <f>C28+C29</f>
        <v>53157829.254999943</v>
      </c>
    </row>
    <row r="31" spans="1:3">
      <c r="A31" s="289" t="s">
        <v>462</v>
      </c>
      <c r="B31" s="290"/>
      <c r="C31" s="579"/>
    </row>
    <row r="32" spans="1:3" ht="24">
      <c r="A32" s="310" t="s">
        <v>463</v>
      </c>
      <c r="B32" s="297" t="s">
        <v>464</v>
      </c>
      <c r="C32" s="581">
        <v>0</v>
      </c>
    </row>
    <row r="33" spans="1:3">
      <c r="A33" s="310" t="s">
        <v>465</v>
      </c>
      <c r="B33" s="298" t="s">
        <v>466</v>
      </c>
      <c r="C33" s="581">
        <v>0</v>
      </c>
    </row>
    <row r="34" spans="1:3">
      <c r="A34" s="289" t="s">
        <v>467</v>
      </c>
      <c r="B34" s="290"/>
      <c r="C34" s="579"/>
    </row>
    <row r="35" spans="1:3">
      <c r="A35" s="311">
        <v>20</v>
      </c>
      <c r="B35" s="312" t="s">
        <v>468</v>
      </c>
      <c r="C35" s="581">
        <v>147181488.98999986</v>
      </c>
    </row>
    <row r="36" spans="1:3">
      <c r="A36" s="308">
        <v>21</v>
      </c>
      <c r="B36" s="309" t="s">
        <v>469</v>
      </c>
      <c r="C36" s="581">
        <v>1403700173.5593984</v>
      </c>
    </row>
    <row r="37" spans="1:3">
      <c r="A37" s="289" t="s">
        <v>470</v>
      </c>
      <c r="B37" s="290"/>
      <c r="C37" s="579"/>
    </row>
    <row r="38" spans="1:3">
      <c r="A38" s="308">
        <v>22</v>
      </c>
      <c r="B38" s="309" t="s">
        <v>470</v>
      </c>
      <c r="C38" s="582">
        <f>IFERROR(C35/C36,0)</f>
        <v>0.10485251178447032</v>
      </c>
    </row>
    <row r="39" spans="1:3">
      <c r="A39" s="289" t="s">
        <v>471</v>
      </c>
      <c r="B39" s="290"/>
      <c r="C39" s="579"/>
    </row>
    <row r="40" spans="1:3">
      <c r="A40" s="313" t="s">
        <v>472</v>
      </c>
      <c r="B40" s="297" t="s">
        <v>473</v>
      </c>
      <c r="C40" s="581">
        <v>0</v>
      </c>
    </row>
    <row r="41" spans="1:3" ht="24">
      <c r="A41" s="314" t="s">
        <v>474</v>
      </c>
      <c r="B41" s="293" t="s">
        <v>475</v>
      </c>
      <c r="C41" s="581">
        <v>0</v>
      </c>
    </row>
    <row r="43" spans="1:3">
      <c r="B43" s="288"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J30" sqref="J30"/>
    </sheetView>
  </sheetViews>
  <sheetFormatPr defaultRowHeight="15"/>
  <cols>
    <col min="1" max="1" width="8.7109375" style="193"/>
    <col min="2" max="2" width="82.5703125" style="200" customWidth="1"/>
    <col min="3" max="7" width="17.5703125" style="193" customWidth="1"/>
  </cols>
  <sheetData>
    <row r="1" spans="1:7">
      <c r="A1" s="193" t="s">
        <v>30</v>
      </c>
      <c r="B1" s="3" t="str">
        <f>'Info '!C2</f>
        <v>Terabank</v>
      </c>
    </row>
    <row r="2" spans="1:7">
      <c r="A2" s="193" t="s">
        <v>31</v>
      </c>
      <c r="B2" s="339">
        <f>'1. key ratios '!B2</f>
        <v>44742</v>
      </c>
    </row>
    <row r="4" spans="1:7" ht="15.75" thickBot="1">
      <c r="A4" s="193" t="s">
        <v>536</v>
      </c>
      <c r="B4" s="343" t="s">
        <v>497</v>
      </c>
    </row>
    <row r="5" spans="1:7">
      <c r="A5" s="344"/>
      <c r="B5" s="345"/>
      <c r="C5" s="672" t="s">
        <v>498</v>
      </c>
      <c r="D5" s="672"/>
      <c r="E5" s="672"/>
      <c r="F5" s="672"/>
      <c r="G5" s="673" t="s">
        <v>499</v>
      </c>
    </row>
    <row r="6" spans="1:7">
      <c r="A6" s="346"/>
      <c r="B6" s="347"/>
      <c r="C6" s="348" t="s">
        <v>500</v>
      </c>
      <c r="D6" s="348" t="s">
        <v>501</v>
      </c>
      <c r="E6" s="348" t="s">
        <v>502</v>
      </c>
      <c r="F6" s="348" t="s">
        <v>503</v>
      </c>
      <c r="G6" s="674"/>
    </row>
    <row r="7" spans="1:7">
      <c r="A7" s="349"/>
      <c r="B7" s="350" t="s">
        <v>504</v>
      </c>
      <c r="C7" s="351"/>
      <c r="D7" s="351"/>
      <c r="E7" s="351"/>
      <c r="F7" s="351"/>
      <c r="G7" s="352"/>
    </row>
    <row r="8" spans="1:7">
      <c r="A8" s="353">
        <v>1</v>
      </c>
      <c r="B8" s="354" t="s">
        <v>505</v>
      </c>
      <c r="C8" s="540">
        <f>SUM(C9:C10)</f>
        <v>147181488.98999989</v>
      </c>
      <c r="D8" s="540">
        <f>SUM(D9:D10)</f>
        <v>0</v>
      </c>
      <c r="E8" s="540">
        <f>SUM(E9:E10)</f>
        <v>0</v>
      </c>
      <c r="F8" s="540">
        <f>SUM(F9:F10)</f>
        <v>251218451.97999996</v>
      </c>
      <c r="G8" s="355">
        <f>SUM(G9:G10)</f>
        <v>398399940.96999979</v>
      </c>
    </row>
    <row r="9" spans="1:7">
      <c r="A9" s="353">
        <v>2</v>
      </c>
      <c r="B9" s="356" t="s">
        <v>506</v>
      </c>
      <c r="C9" s="540">
        <v>147181488.98999989</v>
      </c>
      <c r="D9" s="540">
        <v>0</v>
      </c>
      <c r="E9" s="540">
        <v>0</v>
      </c>
      <c r="F9" s="540">
        <v>40809879.549999997</v>
      </c>
      <c r="G9" s="355">
        <v>187991368.53999987</v>
      </c>
    </row>
    <row r="10" spans="1:7">
      <c r="A10" s="353">
        <v>3</v>
      </c>
      <c r="B10" s="356" t="s">
        <v>507</v>
      </c>
      <c r="C10" s="583"/>
      <c r="D10" s="583"/>
      <c r="E10" s="583"/>
      <c r="F10" s="540">
        <v>210408572.42999995</v>
      </c>
      <c r="G10" s="355">
        <v>210408572.42999995</v>
      </c>
    </row>
    <row r="11" spans="1:7" ht="14.45" customHeight="1">
      <c r="A11" s="353">
        <v>4</v>
      </c>
      <c r="B11" s="354" t="s">
        <v>508</v>
      </c>
      <c r="C11" s="540">
        <f t="shared" ref="C11:F11" si="0">SUM(C12:C13)</f>
        <v>160692097.58000016</v>
      </c>
      <c r="D11" s="540">
        <f t="shared" si="0"/>
        <v>116836239.11999993</v>
      </c>
      <c r="E11" s="540">
        <f t="shared" si="0"/>
        <v>78374150.899999976</v>
      </c>
      <c r="F11" s="540">
        <f t="shared" si="0"/>
        <v>6542110.2800000012</v>
      </c>
      <c r="G11" s="355">
        <f>SUM(G12:G13)</f>
        <v>317718847.16400003</v>
      </c>
    </row>
    <row r="12" spans="1:7">
      <c r="A12" s="353">
        <v>5</v>
      </c>
      <c r="B12" s="356" t="s">
        <v>509</v>
      </c>
      <c r="C12" s="540">
        <v>129325410.07000014</v>
      </c>
      <c r="D12" s="584">
        <v>106303802.22999993</v>
      </c>
      <c r="E12" s="540">
        <v>61515226.999999978</v>
      </c>
      <c r="F12" s="540">
        <v>6181223.4200000009</v>
      </c>
      <c r="G12" s="355">
        <v>288159379.58400005</v>
      </c>
    </row>
    <row r="13" spans="1:7">
      <c r="A13" s="353">
        <v>6</v>
      </c>
      <c r="B13" s="356" t="s">
        <v>510</v>
      </c>
      <c r="C13" s="540">
        <v>31366687.510000028</v>
      </c>
      <c r="D13" s="584">
        <v>10532436.889999999</v>
      </c>
      <c r="E13" s="540">
        <v>16858923.899999999</v>
      </c>
      <c r="F13" s="540">
        <v>360886.86</v>
      </c>
      <c r="G13" s="355">
        <v>29559467.580000013</v>
      </c>
    </row>
    <row r="14" spans="1:7">
      <c r="A14" s="353">
        <v>7</v>
      </c>
      <c r="B14" s="354" t="s">
        <v>511</v>
      </c>
      <c r="C14" s="540">
        <f t="shared" ref="C14:F14" si="1">SUM(C15:C16)</f>
        <v>224895398.73999989</v>
      </c>
      <c r="D14" s="540">
        <f t="shared" si="1"/>
        <v>246761267.70999998</v>
      </c>
      <c r="E14" s="540">
        <f t="shared" si="1"/>
        <v>106283866.33999999</v>
      </c>
      <c r="F14" s="540">
        <f t="shared" si="1"/>
        <v>37800</v>
      </c>
      <c r="G14" s="355">
        <f>SUM(G15:G16)</f>
        <v>177366849.34499997</v>
      </c>
    </row>
    <row r="15" spans="1:7" ht="39">
      <c r="A15" s="353">
        <v>8</v>
      </c>
      <c r="B15" s="356" t="s">
        <v>512</v>
      </c>
      <c r="C15" s="540">
        <v>211848276.7599999</v>
      </c>
      <c r="D15" s="584">
        <v>36563755.590000004</v>
      </c>
      <c r="E15" s="540">
        <v>57470513.290000007</v>
      </c>
      <c r="F15" s="540">
        <v>37800</v>
      </c>
      <c r="G15" s="355">
        <v>152960172.81999996</v>
      </c>
    </row>
    <row r="16" spans="1:7" ht="26.25">
      <c r="A16" s="353">
        <v>9</v>
      </c>
      <c r="B16" s="356" t="s">
        <v>513</v>
      </c>
      <c r="C16" s="540">
        <v>13047121.98</v>
      </c>
      <c r="D16" s="584">
        <v>210197512.11999997</v>
      </c>
      <c r="E16" s="540">
        <v>48813353.049999982</v>
      </c>
      <c r="F16" s="540">
        <v>0</v>
      </c>
      <c r="G16" s="355">
        <v>24406676.524999991</v>
      </c>
    </row>
    <row r="17" spans="1:7">
      <c r="A17" s="353">
        <v>10</v>
      </c>
      <c r="B17" s="354" t="s">
        <v>514</v>
      </c>
      <c r="C17" s="540">
        <v>0</v>
      </c>
      <c r="D17" s="584">
        <v>0</v>
      </c>
      <c r="E17" s="540">
        <v>0</v>
      </c>
      <c r="F17" s="540">
        <v>0</v>
      </c>
      <c r="G17" s="355">
        <v>0</v>
      </c>
    </row>
    <row r="18" spans="1:7">
      <c r="A18" s="353">
        <v>11</v>
      </c>
      <c r="B18" s="354" t="s">
        <v>515</v>
      </c>
      <c r="C18" s="540">
        <f>SUM(C19:C20)</f>
        <v>0</v>
      </c>
      <c r="D18" s="584">
        <f t="shared" ref="D18:G18" si="2">SUM(D19:D20)</f>
        <v>13755302.310000015</v>
      </c>
      <c r="E18" s="540">
        <f t="shared" si="2"/>
        <v>5275905.5599999996</v>
      </c>
      <c r="F18" s="540">
        <f t="shared" si="2"/>
        <v>10924890.689999999</v>
      </c>
      <c r="G18" s="355">
        <f t="shared" si="2"/>
        <v>0</v>
      </c>
    </row>
    <row r="19" spans="1:7">
      <c r="A19" s="353">
        <v>12</v>
      </c>
      <c r="B19" s="356" t="s">
        <v>516</v>
      </c>
      <c r="C19" s="583"/>
      <c r="D19" s="584">
        <v>201478.99000000022</v>
      </c>
      <c r="E19" s="540">
        <v>0</v>
      </c>
      <c r="F19" s="540">
        <v>0</v>
      </c>
      <c r="G19" s="355">
        <v>0</v>
      </c>
    </row>
    <row r="20" spans="1:7">
      <c r="A20" s="353">
        <v>13</v>
      </c>
      <c r="B20" s="356" t="s">
        <v>517</v>
      </c>
      <c r="C20" s="540">
        <v>0</v>
      </c>
      <c r="D20" s="540">
        <v>13553823.320000015</v>
      </c>
      <c r="E20" s="540">
        <v>5275905.5599999996</v>
      </c>
      <c r="F20" s="540">
        <v>10924890.689999999</v>
      </c>
      <c r="G20" s="355">
        <v>0</v>
      </c>
    </row>
    <row r="21" spans="1:7">
      <c r="A21" s="357">
        <v>14</v>
      </c>
      <c r="B21" s="358" t="s">
        <v>518</v>
      </c>
      <c r="C21" s="583"/>
      <c r="D21" s="583"/>
      <c r="E21" s="583"/>
      <c r="F21" s="583"/>
      <c r="G21" s="359">
        <f>SUM(G8,G11,G14,G17,G18)</f>
        <v>893485637.47899985</v>
      </c>
    </row>
    <row r="22" spans="1:7">
      <c r="A22" s="360"/>
      <c r="B22" s="361" t="s">
        <v>519</v>
      </c>
      <c r="C22" s="362"/>
      <c r="D22" s="363"/>
      <c r="E22" s="362"/>
      <c r="F22" s="362"/>
      <c r="G22" s="364"/>
    </row>
    <row r="23" spans="1:7">
      <c r="A23" s="353">
        <v>15</v>
      </c>
      <c r="B23" s="354" t="s">
        <v>520</v>
      </c>
      <c r="C23" s="541">
        <v>183383516.27599999</v>
      </c>
      <c r="D23" s="550">
        <v>172191200</v>
      </c>
      <c r="E23" s="541">
        <v>0</v>
      </c>
      <c r="F23" s="541">
        <v>2051681.74</v>
      </c>
      <c r="G23" s="355">
        <v>11802818.1908</v>
      </c>
    </row>
    <row r="24" spans="1:7">
      <c r="A24" s="353">
        <v>16</v>
      </c>
      <c r="B24" s="354" t="s">
        <v>521</v>
      </c>
      <c r="C24" s="540">
        <f>SUM(C25:C27,C29,C31)</f>
        <v>425275.26</v>
      </c>
      <c r="D24" s="584">
        <f t="shared" ref="D24:G24" si="3">SUM(D25:D27,D29,D31)</f>
        <v>240918187.27313063</v>
      </c>
      <c r="E24" s="540">
        <f t="shared" si="3"/>
        <v>152768278.60528409</v>
      </c>
      <c r="F24" s="540">
        <f t="shared" si="3"/>
        <v>486678035.51279324</v>
      </c>
      <c r="G24" s="355">
        <f t="shared" si="3"/>
        <v>588124969.13402367</v>
      </c>
    </row>
    <row r="25" spans="1:7">
      <c r="A25" s="353">
        <v>17</v>
      </c>
      <c r="B25" s="356" t="s">
        <v>522</v>
      </c>
      <c r="C25" s="584" t="s">
        <v>771</v>
      </c>
      <c r="D25" s="584">
        <v>0</v>
      </c>
      <c r="E25" s="540">
        <v>0</v>
      </c>
      <c r="F25" s="540">
        <v>0</v>
      </c>
      <c r="G25" s="355">
        <v>0</v>
      </c>
    </row>
    <row r="26" spans="1:7" ht="26.25">
      <c r="A26" s="353">
        <v>18</v>
      </c>
      <c r="B26" s="356" t="s">
        <v>523</v>
      </c>
      <c r="C26" s="540">
        <v>425275.26</v>
      </c>
      <c r="D26" s="584">
        <v>32563037.059999995</v>
      </c>
      <c r="E26" s="540">
        <v>3848518.2144747549</v>
      </c>
      <c r="F26" s="540">
        <v>925588.91992305405</v>
      </c>
      <c r="G26" s="355">
        <v>7798094.8751604306</v>
      </c>
    </row>
    <row r="27" spans="1:7">
      <c r="A27" s="353">
        <v>19</v>
      </c>
      <c r="B27" s="356" t="s">
        <v>524</v>
      </c>
      <c r="C27" s="540" t="s">
        <v>771</v>
      </c>
      <c r="D27" s="584">
        <v>88724342.972923458</v>
      </c>
      <c r="E27" s="540">
        <v>65000635.968051597</v>
      </c>
      <c r="F27" s="540">
        <v>173149562.97385854</v>
      </c>
      <c r="G27" s="355">
        <v>224039617.99826729</v>
      </c>
    </row>
    <row r="28" spans="1:7">
      <c r="A28" s="353">
        <v>20</v>
      </c>
      <c r="B28" s="365" t="s">
        <v>525</v>
      </c>
      <c r="C28" s="540">
        <v>0</v>
      </c>
      <c r="D28" s="584">
        <v>0</v>
      </c>
      <c r="E28" s="540">
        <v>0</v>
      </c>
      <c r="F28" s="540">
        <v>0</v>
      </c>
      <c r="G28" s="355">
        <v>0</v>
      </c>
    </row>
    <row r="29" spans="1:7">
      <c r="A29" s="353">
        <v>21</v>
      </c>
      <c r="B29" s="356" t="s">
        <v>526</v>
      </c>
      <c r="C29" s="540" t="s">
        <v>771</v>
      </c>
      <c r="D29" s="584">
        <v>118501699.27020715</v>
      </c>
      <c r="E29" s="540">
        <v>83004102.552757755</v>
      </c>
      <c r="F29" s="540">
        <v>307489966.93101162</v>
      </c>
      <c r="G29" s="355">
        <v>350919212.15579599</v>
      </c>
    </row>
    <row r="30" spans="1:7">
      <c r="A30" s="353">
        <v>22</v>
      </c>
      <c r="B30" s="365" t="s">
        <v>525</v>
      </c>
      <c r="C30" s="540">
        <v>0</v>
      </c>
      <c r="D30" s="584">
        <v>17430739.191418633</v>
      </c>
      <c r="E30" s="540">
        <v>14282192.426422555</v>
      </c>
      <c r="F30" s="540">
        <v>56000803.235231437</v>
      </c>
      <c r="G30" s="355">
        <v>52256987.91182103</v>
      </c>
    </row>
    <row r="31" spans="1:7">
      <c r="A31" s="353">
        <v>23</v>
      </c>
      <c r="B31" s="356" t="s">
        <v>527</v>
      </c>
      <c r="C31" s="540" t="s">
        <v>771</v>
      </c>
      <c r="D31" s="584">
        <v>1129107.9699999997</v>
      </c>
      <c r="E31" s="540">
        <v>915021.87000000034</v>
      </c>
      <c r="F31" s="540">
        <v>5112916.6880000001</v>
      </c>
      <c r="G31" s="355">
        <v>5368044.1047999999</v>
      </c>
    </row>
    <row r="32" spans="1:7">
      <c r="A32" s="353">
        <v>24</v>
      </c>
      <c r="B32" s="354" t="s">
        <v>528</v>
      </c>
      <c r="C32" s="540">
        <v>0</v>
      </c>
      <c r="D32" s="584">
        <v>0</v>
      </c>
      <c r="E32" s="540">
        <v>0</v>
      </c>
      <c r="F32" s="540">
        <v>0</v>
      </c>
      <c r="G32" s="355">
        <v>0</v>
      </c>
    </row>
    <row r="33" spans="1:7">
      <c r="A33" s="353">
        <v>25</v>
      </c>
      <c r="B33" s="354" t="s">
        <v>529</v>
      </c>
      <c r="C33" s="540">
        <f>SUM(C34:C35)</f>
        <v>27672193.780000016</v>
      </c>
      <c r="D33" s="540">
        <f>SUM(D34:D35)</f>
        <v>3728440.6268237969</v>
      </c>
      <c r="E33" s="540">
        <f>SUM(E34:E35)</f>
        <v>3319812.0583815295</v>
      </c>
      <c r="F33" s="540">
        <f>SUM(F34:F35)</f>
        <v>95805821.934764385</v>
      </c>
      <c r="G33" s="355">
        <f>SUM(G34:G35)</f>
        <v>127184604.27736706</v>
      </c>
    </row>
    <row r="34" spans="1:7">
      <c r="A34" s="353">
        <v>26</v>
      </c>
      <c r="B34" s="356" t="s">
        <v>530</v>
      </c>
      <c r="C34" s="583"/>
      <c r="D34" s="584">
        <v>364924.44000000134</v>
      </c>
      <c r="E34" s="540">
        <v>0</v>
      </c>
      <c r="F34" s="540">
        <v>0</v>
      </c>
      <c r="G34" s="355">
        <v>364924.44000000134</v>
      </c>
    </row>
    <row r="35" spans="1:7">
      <c r="A35" s="353">
        <v>27</v>
      </c>
      <c r="B35" s="356" t="s">
        <v>531</v>
      </c>
      <c r="C35" s="540">
        <v>27672193.780000016</v>
      </c>
      <c r="D35" s="584">
        <v>3363516.1868237955</v>
      </c>
      <c r="E35" s="540">
        <v>3319812.0583815295</v>
      </c>
      <c r="F35" s="540">
        <v>95805821.934764385</v>
      </c>
      <c r="G35" s="355">
        <v>126819679.83736706</v>
      </c>
    </row>
    <row r="36" spans="1:7">
      <c r="A36" s="353">
        <v>28</v>
      </c>
      <c r="B36" s="354" t="s">
        <v>532</v>
      </c>
      <c r="C36" s="540">
        <v>0</v>
      </c>
      <c r="D36" s="584">
        <v>41733984.879999995</v>
      </c>
      <c r="E36" s="540">
        <v>22110854.779999997</v>
      </c>
      <c r="F36" s="540">
        <v>34679343.140000001</v>
      </c>
      <c r="G36" s="355">
        <v>9211220.1169999987</v>
      </c>
    </row>
    <row r="37" spans="1:7">
      <c r="A37" s="357">
        <v>29</v>
      </c>
      <c r="B37" s="358" t="s">
        <v>533</v>
      </c>
      <c r="C37" s="583"/>
      <c r="D37" s="583"/>
      <c r="E37" s="583"/>
      <c r="F37" s="583"/>
      <c r="G37" s="359">
        <f>SUM(G23:G24,G32:G33,G36)</f>
        <v>736323611.71919072</v>
      </c>
    </row>
    <row r="38" spans="1:7">
      <c r="A38" s="349"/>
      <c r="B38" s="366"/>
      <c r="C38" s="367"/>
      <c r="D38" s="367"/>
      <c r="E38" s="367"/>
      <c r="F38" s="367"/>
      <c r="G38" s="368"/>
    </row>
    <row r="39" spans="1:7" ht="15.75" thickBot="1">
      <c r="A39" s="369">
        <v>30</v>
      </c>
      <c r="B39" s="370" t="s">
        <v>534</v>
      </c>
      <c r="C39" s="253"/>
      <c r="D39" s="254"/>
      <c r="E39" s="254"/>
      <c r="F39" s="255"/>
      <c r="G39" s="371">
        <f>IFERROR(G21/G37,0)</f>
        <v>1.2134415130228711</v>
      </c>
    </row>
    <row r="42" spans="1:7" ht="39">
      <c r="B42" s="200"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26" activePane="bottomRight" state="frozen"/>
      <selection activeCell="B9" sqref="B9"/>
      <selection pane="topRight" activeCell="B9" sqref="B9"/>
      <selection pane="bottomLeft" activeCell="B9" sqref="B9"/>
      <selection pane="bottomRight" activeCell="E49" sqref="E49"/>
    </sheetView>
  </sheetViews>
  <sheetFormatPr defaultColWidth="9.140625" defaultRowHeight="14.25"/>
  <cols>
    <col min="1" max="1" width="9.5703125" style="3" bestFit="1" customWidth="1"/>
    <col min="2" max="2" width="86" style="3" customWidth="1"/>
    <col min="3" max="3" width="12.7109375" style="3" customWidth="1"/>
    <col min="4" max="4" width="12.7109375" style="4" customWidth="1"/>
    <col min="5" max="7" width="13.28515625" style="4" bestFit="1" customWidth="1"/>
    <col min="8" max="13" width="6.7109375" style="5" customWidth="1"/>
    <col min="14" max="16384" width="9.140625" style="5"/>
  </cols>
  <sheetData>
    <row r="1" spans="1:7">
      <c r="A1" s="2" t="s">
        <v>30</v>
      </c>
      <c r="B1" s="3" t="str">
        <f>'Info '!C2</f>
        <v>Terabank</v>
      </c>
    </row>
    <row r="2" spans="1:7">
      <c r="A2" s="2" t="s">
        <v>31</v>
      </c>
      <c r="B2" s="339">
        <v>44742</v>
      </c>
    </row>
    <row r="3" spans="1:7">
      <c r="A3" s="2"/>
    </row>
    <row r="4" spans="1:7" ht="15" thickBot="1">
      <c r="A4" s="6" t="s">
        <v>140</v>
      </c>
      <c r="B4" s="7" t="s">
        <v>139</v>
      </c>
      <c r="C4" s="7"/>
      <c r="D4" s="7"/>
      <c r="E4" s="7"/>
      <c r="F4" s="7"/>
      <c r="G4" s="7"/>
    </row>
    <row r="5" spans="1:7">
      <c r="A5" s="8" t="s">
        <v>6</v>
      </c>
      <c r="B5" s="9"/>
      <c r="C5" s="337" t="str">
        <f>INT((MONTH($B$2))/3)&amp;"Q"&amp;"-"&amp;YEAR($B$2)</f>
        <v>2Q-2022</v>
      </c>
      <c r="D5" s="337" t="str">
        <f>IF(INT(MONTH($B$2))=3, "4"&amp;"Q"&amp;"-"&amp;YEAR($B$2)-1, IF(INT(MONTH($B$2))=6, "1"&amp;"Q"&amp;"-"&amp;YEAR($B$2), IF(INT(MONTH($B$2))=9, "2"&amp;"Q"&amp;"-"&amp;YEAR($B$2),IF(INT(MONTH($B$2))=12, "3"&amp;"Q"&amp;"-"&amp;YEAR($B$2), 0))))</f>
        <v>1Q-2022</v>
      </c>
      <c r="E5" s="337" t="str">
        <f>IF(INT(MONTH($B$2))=3, "3"&amp;"Q"&amp;"-"&amp;YEAR($B$2)-1, IF(INT(MONTH($B$2))=6, "4"&amp;"Q"&amp;"-"&amp;YEAR($B$2)-1, IF(INT(MONTH($B$2))=9, "1"&amp;"Q"&amp;"-"&amp;YEAR($B$2),IF(INT(MONTH($B$2))=12, "2"&amp;"Q"&amp;"-"&amp;YEAR($B$2), 0))))</f>
        <v>4Q-2021</v>
      </c>
      <c r="F5" s="337" t="str">
        <f>IF(INT(MONTH($B$2))=3, "2"&amp;"Q"&amp;"-"&amp;YEAR($B$2)-1, IF(INT(MONTH($B$2))=6, "3"&amp;"Q"&amp;"-"&amp;YEAR($B$2)-1, IF(INT(MONTH($B$2))=9, "4"&amp;"Q"&amp;"-"&amp;YEAR($B$2)-1,IF(INT(MONTH($B$2))=12, "1"&amp;"Q"&amp;"-"&amp;YEAR($B$2), 0))))</f>
        <v>3Q-2021</v>
      </c>
      <c r="G5" s="338" t="str">
        <f>IF(INT(MONTH($B$2))=3, "1"&amp;"Q"&amp;"-"&amp;YEAR($B$2)-1, IF(INT(MONTH($B$2))=6, "2"&amp;"Q"&amp;"-"&amp;YEAR($B$2)-1, IF(INT(MONTH($B$2))=9, "3"&amp;"Q"&amp;"-"&amp;YEAR($B$2)-1,IF(INT(MONTH($B$2))=12, "4"&amp;"Q"&amp;"-"&amp;YEAR($B$2)-1, 0))))</f>
        <v>2Q-2021</v>
      </c>
    </row>
    <row r="6" spans="1:7">
      <c r="B6" s="172" t="s">
        <v>138</v>
      </c>
      <c r="C6" s="240"/>
      <c r="D6" s="240"/>
      <c r="E6" s="240"/>
      <c r="F6" s="240"/>
      <c r="G6" s="429"/>
    </row>
    <row r="7" spans="1:7">
      <c r="A7" s="10"/>
      <c r="B7" s="173" t="s">
        <v>136</v>
      </c>
      <c r="C7" s="240"/>
      <c r="D7" s="240"/>
      <c r="E7" s="240"/>
      <c r="F7" s="240"/>
      <c r="G7" s="429"/>
    </row>
    <row r="8" spans="1:7">
      <c r="A8" s="8">
        <v>1</v>
      </c>
      <c r="B8" s="11" t="s">
        <v>487</v>
      </c>
      <c r="C8" s="430">
        <v>147181488.98999986</v>
      </c>
      <c r="D8" s="431">
        <v>140360990.93000007</v>
      </c>
      <c r="E8" s="431">
        <v>132094165.61000001</v>
      </c>
      <c r="F8" s="431">
        <v>126061369.7900002</v>
      </c>
      <c r="G8" s="431">
        <v>117539309.89999998</v>
      </c>
    </row>
    <row r="9" spans="1:7">
      <c r="A9" s="8">
        <v>2</v>
      </c>
      <c r="B9" s="11" t="s">
        <v>488</v>
      </c>
      <c r="C9" s="430">
        <v>147181488.98999986</v>
      </c>
      <c r="D9" s="431">
        <v>140360990.93000007</v>
      </c>
      <c r="E9" s="431">
        <v>132094165.61000001</v>
      </c>
      <c r="F9" s="431">
        <v>126061369.7900002</v>
      </c>
      <c r="G9" s="431">
        <v>117539309.89999998</v>
      </c>
    </row>
    <row r="10" spans="1:7">
      <c r="A10" s="8">
        <v>3</v>
      </c>
      <c r="B10" s="11" t="s">
        <v>245</v>
      </c>
      <c r="C10" s="430">
        <v>201106410.27410448</v>
      </c>
      <c r="D10" s="431">
        <v>201487619.53327212</v>
      </c>
      <c r="E10" s="431">
        <v>179552613.19339192</v>
      </c>
      <c r="F10" s="431">
        <v>176153056.92921895</v>
      </c>
      <c r="G10" s="431">
        <v>170432591.27043557</v>
      </c>
    </row>
    <row r="11" spans="1:7">
      <c r="A11" s="8">
        <v>4</v>
      </c>
      <c r="B11" s="11" t="s">
        <v>490</v>
      </c>
      <c r="C11" s="432">
        <v>77464129.769991755</v>
      </c>
      <c r="D11" s="433">
        <v>77085616.011116952</v>
      </c>
      <c r="E11" s="433">
        <v>68689810.285512358</v>
      </c>
      <c r="F11" s="433">
        <v>66305258.451731682</v>
      </c>
      <c r="G11" s="434">
        <v>67562888.890113622</v>
      </c>
    </row>
    <row r="12" spans="1:7">
      <c r="A12" s="8">
        <v>5</v>
      </c>
      <c r="B12" s="11" t="s">
        <v>491</v>
      </c>
      <c r="C12" s="432">
        <v>103317324.97125384</v>
      </c>
      <c r="D12" s="433">
        <v>102814354.3737711</v>
      </c>
      <c r="E12" s="433">
        <v>91617361.803543657</v>
      </c>
      <c r="F12" s="433">
        <v>88437457.124031246</v>
      </c>
      <c r="G12" s="434">
        <v>90117179.82104367</v>
      </c>
    </row>
    <row r="13" spans="1:7">
      <c r="A13" s="8">
        <v>6</v>
      </c>
      <c r="B13" s="11" t="s">
        <v>489</v>
      </c>
      <c r="C13" s="432">
        <v>146365031.30004895</v>
      </c>
      <c r="D13" s="433">
        <v>145652618.20997047</v>
      </c>
      <c r="E13" s="433">
        <v>141656270.31281644</v>
      </c>
      <c r="F13" s="433">
        <v>136699169.77684066</v>
      </c>
      <c r="G13" s="434">
        <v>139149563.60297608</v>
      </c>
    </row>
    <row r="14" spans="1:7">
      <c r="A14" s="10"/>
      <c r="B14" s="172" t="s">
        <v>493</v>
      </c>
      <c r="C14" s="240"/>
      <c r="D14" s="240"/>
      <c r="E14" s="240"/>
      <c r="F14" s="240"/>
      <c r="G14" s="429"/>
    </row>
    <row r="15" spans="1:7" ht="15" customHeight="1">
      <c r="A15" s="8">
        <v>7</v>
      </c>
      <c r="B15" s="11" t="s">
        <v>492</v>
      </c>
      <c r="C15" s="435">
        <v>1172205723.6921189</v>
      </c>
      <c r="D15" s="431">
        <v>1159483107.9255137</v>
      </c>
      <c r="E15" s="436">
        <v>1132332295.6451013</v>
      </c>
      <c r="F15" s="436">
        <v>1091463372.5874999</v>
      </c>
      <c r="G15" s="437">
        <v>1105639920.9348476</v>
      </c>
    </row>
    <row r="16" spans="1:7">
      <c r="A16" s="10"/>
      <c r="B16" s="172" t="s">
        <v>494</v>
      </c>
      <c r="C16" s="240"/>
      <c r="D16" s="240"/>
      <c r="E16" s="240"/>
      <c r="F16" s="240"/>
      <c r="G16" s="429"/>
    </row>
    <row r="17" spans="1:7">
      <c r="A17" s="8"/>
      <c r="B17" s="173" t="s">
        <v>478</v>
      </c>
      <c r="C17" s="240"/>
      <c r="D17" s="240"/>
      <c r="E17" s="240"/>
      <c r="F17" s="240"/>
      <c r="G17" s="429"/>
    </row>
    <row r="18" spans="1:7">
      <c r="A18" s="8">
        <v>8</v>
      </c>
      <c r="B18" s="11" t="s">
        <v>487</v>
      </c>
      <c r="C18" s="438">
        <v>0.12555943552844931</v>
      </c>
      <c r="D18" s="439">
        <v>0.12105479585737698</v>
      </c>
      <c r="E18" s="439">
        <v>0.11665671474533421</v>
      </c>
      <c r="F18" s="439">
        <v>0.11549757230162497</v>
      </c>
      <c r="G18" s="440">
        <v>0.10630885125838926</v>
      </c>
    </row>
    <row r="19" spans="1:7" ht="15" customHeight="1">
      <c r="A19" s="8">
        <v>9</v>
      </c>
      <c r="B19" s="11" t="s">
        <v>488</v>
      </c>
      <c r="C19" s="438">
        <v>0.12555943552844931</v>
      </c>
      <c r="D19" s="439">
        <v>0.12105479585737698</v>
      </c>
      <c r="E19" s="439">
        <v>0.11665671474533421</v>
      </c>
      <c r="F19" s="439">
        <v>0.11549757230162497</v>
      </c>
      <c r="G19" s="440">
        <v>0.10630885125838926</v>
      </c>
    </row>
    <row r="20" spans="1:7">
      <c r="A20" s="8">
        <v>10</v>
      </c>
      <c r="B20" s="11" t="s">
        <v>245</v>
      </c>
      <c r="C20" s="438">
        <v>0.17156238551768521</v>
      </c>
      <c r="D20" s="439">
        <v>0.1737736566889389</v>
      </c>
      <c r="E20" s="439">
        <v>0.15856883521201606</v>
      </c>
      <c r="F20" s="439">
        <v>0.1613916337949281</v>
      </c>
      <c r="G20" s="440">
        <v>0.15414836968470741</v>
      </c>
    </row>
    <row r="21" spans="1:7">
      <c r="A21" s="8">
        <v>11</v>
      </c>
      <c r="B21" s="11" t="s">
        <v>490</v>
      </c>
      <c r="C21" s="441">
        <v>6.6084073984898739E-2</v>
      </c>
      <c r="D21" s="441">
        <v>6.6482741735698486E-2</v>
      </c>
      <c r="E21" s="441">
        <v>6.0662237180455117E-2</v>
      </c>
      <c r="F21" s="441">
        <v>6.0748954217807391E-2</v>
      </c>
      <c r="G21" s="441">
        <v>6.110749766794548E-2</v>
      </c>
    </row>
    <row r="22" spans="1:7">
      <c r="A22" s="8">
        <v>12</v>
      </c>
      <c r="B22" s="11" t="s">
        <v>491</v>
      </c>
      <c r="C22" s="441">
        <v>8.8139242867568746E-2</v>
      </c>
      <c r="D22" s="441">
        <v>8.8672576315252355E-2</v>
      </c>
      <c r="E22" s="441">
        <v>8.0910314185950433E-2</v>
      </c>
      <c r="F22" s="441">
        <v>8.1026500151237496E-2</v>
      </c>
      <c r="G22" s="441">
        <v>8.1506807157295136E-2</v>
      </c>
    </row>
    <row r="23" spans="1:7">
      <c r="A23" s="8">
        <v>13</v>
      </c>
      <c r="B23" s="11" t="s">
        <v>489</v>
      </c>
      <c r="C23" s="441">
        <v>0.1248629215348311</v>
      </c>
      <c r="D23" s="441">
        <v>0.1256185771180095</v>
      </c>
      <c r="E23" s="441">
        <v>0.12510132481217751</v>
      </c>
      <c r="F23" s="441">
        <v>0.12524393691083924</v>
      </c>
      <c r="G23" s="441">
        <v>0.12585432288418227</v>
      </c>
    </row>
    <row r="24" spans="1:7">
      <c r="A24" s="10"/>
      <c r="B24" s="172" t="s">
        <v>135</v>
      </c>
      <c r="C24" s="240"/>
      <c r="D24" s="240"/>
      <c r="E24" s="240"/>
      <c r="F24" s="240"/>
      <c r="G24" s="429"/>
    </row>
    <row r="25" spans="1:7" ht="15" customHeight="1">
      <c r="A25" s="340">
        <v>14</v>
      </c>
      <c r="B25" s="11" t="s">
        <v>134</v>
      </c>
      <c r="C25" s="442">
        <v>9.0969951291550111E-2</v>
      </c>
      <c r="D25" s="442">
        <v>8.7629368918025183E-2</v>
      </c>
      <c r="E25" s="442">
        <v>8.1407699924392674E-2</v>
      </c>
      <c r="F25" s="442">
        <v>7.9673400568681094E-2</v>
      </c>
      <c r="G25" s="443">
        <v>7.7078535087239275E-2</v>
      </c>
    </row>
    <row r="26" spans="1:7" ht="15">
      <c r="A26" s="340">
        <v>15</v>
      </c>
      <c r="B26" s="11" t="s">
        <v>133</v>
      </c>
      <c r="C26" s="442">
        <v>4.9009852396435405E-2</v>
      </c>
      <c r="D26" s="442">
        <v>4.6258252485603363E-2</v>
      </c>
      <c r="E26" s="442">
        <v>4.2895664133038941E-2</v>
      </c>
      <c r="F26" s="442">
        <v>4.2108829354622609E-2</v>
      </c>
      <c r="G26" s="443">
        <v>4.1002177850396088E-2</v>
      </c>
    </row>
    <row r="27" spans="1:7" ht="15">
      <c r="A27" s="340">
        <v>16</v>
      </c>
      <c r="B27" s="11" t="s">
        <v>132</v>
      </c>
      <c r="C27" s="444">
        <v>3.0651050792935543E-2</v>
      </c>
      <c r="D27" s="442">
        <v>3.1613178582611791E-2</v>
      </c>
      <c r="E27" s="442">
        <v>2.3647321788586275E-2</v>
      </c>
      <c r="F27" s="442">
        <v>2.4470489234487754E-2</v>
      </c>
      <c r="G27" s="443">
        <v>2.254420603586782E-2</v>
      </c>
    </row>
    <row r="28" spans="1:7" ht="15">
      <c r="A28" s="340">
        <v>17</v>
      </c>
      <c r="B28" s="11" t="s">
        <v>131</v>
      </c>
      <c r="C28" s="444">
        <v>4.1960098895114713E-2</v>
      </c>
      <c r="D28" s="442">
        <v>4.1371116432421827E-2</v>
      </c>
      <c r="E28" s="442">
        <v>3.8512035791353726E-2</v>
      </c>
      <c r="F28" s="442">
        <v>3.756457121405847E-2</v>
      </c>
      <c r="G28" s="443">
        <v>3.6076357236843201E-2</v>
      </c>
    </row>
    <row r="29" spans="1:7" ht="15">
      <c r="A29" s="340">
        <v>18</v>
      </c>
      <c r="B29" s="11" t="s">
        <v>271</v>
      </c>
      <c r="C29" s="444">
        <v>2.2405068460032141E-2</v>
      </c>
      <c r="D29" s="442">
        <v>2.359717230241799E-2</v>
      </c>
      <c r="E29" s="442">
        <v>2.2684375095189592E-2</v>
      </c>
      <c r="F29" s="442">
        <v>2.4116924625292611E-2</v>
      </c>
      <c r="G29" s="443">
        <v>2.2942414711770685E-2</v>
      </c>
    </row>
    <row r="30" spans="1:7" ht="15">
      <c r="A30" s="340">
        <v>19</v>
      </c>
      <c r="B30" s="11" t="s">
        <v>272</v>
      </c>
      <c r="C30" s="444">
        <v>0.18734699703910487</v>
      </c>
      <c r="D30" s="442">
        <v>0.19948786315211625</v>
      </c>
      <c r="E30" s="442">
        <v>0.21262853875767876</v>
      </c>
      <c r="F30" s="442">
        <v>0.23172308209424497</v>
      </c>
      <c r="G30" s="443">
        <v>0.22635155335517654</v>
      </c>
    </row>
    <row r="31" spans="1:7">
      <c r="A31" s="10"/>
      <c r="B31" s="172" t="s">
        <v>351</v>
      </c>
      <c r="C31" s="445"/>
      <c r="D31" s="445"/>
      <c r="E31" s="445"/>
      <c r="F31" s="445"/>
      <c r="G31" s="446"/>
    </row>
    <row r="32" spans="1:7" ht="15">
      <c r="A32" s="340">
        <v>20</v>
      </c>
      <c r="B32" s="11" t="s">
        <v>130</v>
      </c>
      <c r="C32" s="444">
        <v>5.2621833045376321E-2</v>
      </c>
      <c r="D32" s="442">
        <v>5.7773456518902901E-2</v>
      </c>
      <c r="E32" s="442">
        <v>5.9586424067900788E-2</v>
      </c>
      <c r="F32" s="442">
        <v>6.9173317370169463E-2</v>
      </c>
      <c r="G32" s="443">
        <v>6.8140105477074983E-2</v>
      </c>
    </row>
    <row r="33" spans="1:7" ht="15" customHeight="1">
      <c r="A33" s="340">
        <v>21</v>
      </c>
      <c r="B33" s="11" t="s">
        <v>129</v>
      </c>
      <c r="C33" s="444">
        <v>4.5680692422519355E-2</v>
      </c>
      <c r="D33" s="442">
        <v>4.9058974879818619E-2</v>
      </c>
      <c r="E33" s="442">
        <v>5.0474461513308665E-2</v>
      </c>
      <c r="F33" s="442">
        <v>5.4881063425804739E-2</v>
      </c>
      <c r="G33" s="443">
        <v>5.6147245315285484E-2</v>
      </c>
    </row>
    <row r="34" spans="1:7" ht="15">
      <c r="A34" s="340">
        <v>22</v>
      </c>
      <c r="B34" s="11" t="s">
        <v>128</v>
      </c>
      <c r="C34" s="444">
        <v>0.50662487402461864</v>
      </c>
      <c r="D34" s="442">
        <v>0.53697496059372707</v>
      </c>
      <c r="E34" s="442">
        <v>0.54831104305934319</v>
      </c>
      <c r="F34" s="442">
        <v>0.56253793200296776</v>
      </c>
      <c r="G34" s="443">
        <v>0.59519210904633968</v>
      </c>
    </row>
    <row r="35" spans="1:7" ht="15" customHeight="1">
      <c r="A35" s="340">
        <v>23</v>
      </c>
      <c r="B35" s="11" t="s">
        <v>127</v>
      </c>
      <c r="C35" s="444">
        <v>0.46043628209534926</v>
      </c>
      <c r="D35" s="442">
        <v>0.49414954060062338</v>
      </c>
      <c r="E35" s="442">
        <v>0.52256613429798482</v>
      </c>
      <c r="F35" s="442">
        <v>0.53907638258451596</v>
      </c>
      <c r="G35" s="443">
        <v>0.55583691322547357</v>
      </c>
    </row>
    <row r="36" spans="1:7" ht="15">
      <c r="A36" s="340">
        <v>24</v>
      </c>
      <c r="B36" s="11" t="s">
        <v>126</v>
      </c>
      <c r="C36" s="444">
        <v>4.3158569182993933E-2</v>
      </c>
      <c r="D36" s="442">
        <v>2.9696467801209134E-2</v>
      </c>
      <c r="E36" s="442">
        <v>4.8954349786696126E-2</v>
      </c>
      <c r="F36" s="442">
        <v>6.6499750621765831E-3</v>
      </c>
      <c r="G36" s="443">
        <v>2.4399238775824207E-2</v>
      </c>
    </row>
    <row r="37" spans="1:7" ht="15" customHeight="1">
      <c r="A37" s="10"/>
      <c r="B37" s="172" t="s">
        <v>352</v>
      </c>
      <c r="C37" s="445"/>
      <c r="D37" s="445"/>
      <c r="E37" s="445"/>
      <c r="F37" s="445"/>
      <c r="G37" s="446"/>
    </row>
    <row r="38" spans="1:7" ht="15" customHeight="1">
      <c r="A38" s="340">
        <v>25</v>
      </c>
      <c r="B38" s="11" t="s">
        <v>125</v>
      </c>
      <c r="C38" s="444">
        <v>0.1429314741768449</v>
      </c>
      <c r="D38" s="442">
        <v>0.19558109810215574</v>
      </c>
      <c r="E38" s="444">
        <v>0.19024479559002699</v>
      </c>
      <c r="F38" s="444">
        <v>0.22084150666972671</v>
      </c>
      <c r="G38" s="447">
        <v>0.20821737052630823</v>
      </c>
    </row>
    <row r="39" spans="1:7" ht="15" customHeight="1">
      <c r="A39" s="340">
        <v>26</v>
      </c>
      <c r="B39" s="11" t="s">
        <v>124</v>
      </c>
      <c r="C39" s="444">
        <v>0.50137678110475548</v>
      </c>
      <c r="D39" s="442">
        <v>0.56675338994670166</v>
      </c>
      <c r="E39" s="444">
        <v>0.59388580922853151</v>
      </c>
      <c r="F39" s="444">
        <v>0.59417310265790146</v>
      </c>
      <c r="G39" s="447">
        <v>0.61261553221846121</v>
      </c>
    </row>
    <row r="40" spans="1:7" ht="15" customHeight="1">
      <c r="A40" s="340">
        <v>27</v>
      </c>
      <c r="B40" s="11" t="s">
        <v>123</v>
      </c>
      <c r="C40" s="444">
        <v>0.29172575249097576</v>
      </c>
      <c r="D40" s="442">
        <v>0.33051840558519974</v>
      </c>
      <c r="E40" s="444">
        <v>0.3595499817004702</v>
      </c>
      <c r="F40" s="444">
        <v>0.34842923736870068</v>
      </c>
      <c r="G40" s="447">
        <v>0.35948163206570921</v>
      </c>
    </row>
    <row r="41" spans="1:7" ht="15" customHeight="1">
      <c r="A41" s="341"/>
      <c r="B41" s="172" t="s">
        <v>395</v>
      </c>
      <c r="C41" s="240"/>
      <c r="D41" s="240"/>
      <c r="E41" s="240"/>
      <c r="F41" s="240"/>
      <c r="G41" s="429"/>
    </row>
    <row r="42" spans="1:7" ht="15">
      <c r="A42" s="340">
        <v>28</v>
      </c>
      <c r="B42" s="11" t="s">
        <v>378</v>
      </c>
      <c r="C42" s="448">
        <v>221675880.14915442</v>
      </c>
      <c r="D42" s="448">
        <v>251578650.96751416</v>
      </c>
      <c r="E42" s="448">
        <v>269668116.44944865</v>
      </c>
      <c r="F42" s="448">
        <v>289264032.8139711</v>
      </c>
      <c r="G42" s="449">
        <v>241639004.83403173</v>
      </c>
    </row>
    <row r="43" spans="1:7" ht="15" customHeight="1">
      <c r="A43" s="340">
        <v>29</v>
      </c>
      <c r="B43" s="11" t="s">
        <v>390</v>
      </c>
      <c r="C43" s="448">
        <v>180484726.91332838</v>
      </c>
      <c r="D43" s="448">
        <v>212518595.29342759</v>
      </c>
      <c r="E43" s="450">
        <v>214239102.67260239</v>
      </c>
      <c r="F43" s="450">
        <v>240778295.8594408</v>
      </c>
      <c r="G43" s="451">
        <v>193745939.50013483</v>
      </c>
    </row>
    <row r="44" spans="1:7" ht="15" customHeight="1">
      <c r="A44" s="372">
        <v>30</v>
      </c>
      <c r="B44" s="373" t="s">
        <v>379</v>
      </c>
      <c r="C44" s="452">
        <v>1.2282251464724032</v>
      </c>
      <c r="D44" s="453">
        <v>1.1837959432216074</v>
      </c>
      <c r="E44" s="453">
        <v>1.2471951951997609</v>
      </c>
      <c r="F44" s="453">
        <v>1.3697866908315508</v>
      </c>
      <c r="G44" s="454">
        <v>1.4934462376281263</v>
      </c>
    </row>
    <row r="45" spans="1:7" ht="15" customHeight="1">
      <c r="A45" s="372"/>
      <c r="B45" s="172" t="s">
        <v>497</v>
      </c>
      <c r="C45" s="240"/>
      <c r="D45" s="240"/>
      <c r="E45" s="240"/>
      <c r="F45" s="240"/>
      <c r="G45" s="429"/>
    </row>
    <row r="46" spans="1:7" ht="15" customHeight="1">
      <c r="A46" s="372">
        <v>31</v>
      </c>
      <c r="B46" s="373" t="s">
        <v>504</v>
      </c>
      <c r="C46" s="455">
        <v>893485637.47899914</v>
      </c>
      <c r="D46" s="455">
        <v>931298886.4194144</v>
      </c>
      <c r="E46" s="455">
        <v>880992061.38761473</v>
      </c>
      <c r="F46" s="455">
        <v>859381553.06921077</v>
      </c>
      <c r="G46" s="456">
        <v>863149939.6906848</v>
      </c>
    </row>
    <row r="47" spans="1:7" ht="15" customHeight="1">
      <c r="A47" s="372">
        <v>32</v>
      </c>
      <c r="B47" s="373" t="s">
        <v>519</v>
      </c>
      <c r="C47" s="455">
        <v>736323611.69107234</v>
      </c>
      <c r="D47" s="455">
        <v>716933227.6126318</v>
      </c>
      <c r="E47" s="455">
        <v>692488034.19852245</v>
      </c>
      <c r="F47" s="455">
        <v>668514503.70425463</v>
      </c>
      <c r="G47" s="456">
        <v>679319083.87367308</v>
      </c>
    </row>
    <row r="48" spans="1:7" ht="15.75" thickBot="1">
      <c r="A48" s="342">
        <v>33</v>
      </c>
      <c r="B48" s="174" t="s">
        <v>537</v>
      </c>
      <c r="C48" s="457">
        <f>C46/C47</f>
        <v>1.2134415130692084</v>
      </c>
      <c r="D48" s="457">
        <f>D46/D47</f>
        <v>1.2990036596861529</v>
      </c>
      <c r="E48" s="457">
        <f>E46/E47</f>
        <v>1.2722126851004214</v>
      </c>
      <c r="F48" s="457">
        <f t="shared" ref="F48:G48" si="0">F46/F47</f>
        <v>1.2855092123018383</v>
      </c>
      <c r="G48" s="457">
        <f t="shared" si="0"/>
        <v>1.270610468895935</v>
      </c>
    </row>
    <row r="49" spans="1:2">
      <c r="A49" s="12"/>
    </row>
    <row r="50" spans="1:2" ht="38.25">
      <c r="B50" s="232" t="s">
        <v>479</v>
      </c>
    </row>
    <row r="51" spans="1:2" ht="51">
      <c r="B51" s="232" t="s">
        <v>394</v>
      </c>
    </row>
    <row r="53" spans="1:2">
      <c r="B53" s="23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I26" sqref="I26"/>
    </sheetView>
  </sheetViews>
  <sheetFormatPr defaultColWidth="9.140625" defaultRowHeight="12.75"/>
  <cols>
    <col min="1" max="1" width="11.85546875" style="382" bestFit="1" customWidth="1"/>
    <col min="2" max="2" width="105.140625" style="382" bestFit="1" customWidth="1"/>
    <col min="3" max="4" width="12.5703125" style="382" bestFit="1" customWidth="1"/>
    <col min="5" max="5" width="15.42578125" style="382" bestFit="1" customWidth="1"/>
    <col min="6" max="6" width="12.5703125" style="382" bestFit="1" customWidth="1"/>
    <col min="7" max="7" width="16.7109375" style="382" bestFit="1" customWidth="1"/>
    <col min="8" max="8" width="14.28515625" style="382" bestFit="1" customWidth="1"/>
    <col min="9" max="16384" width="9.140625" style="382"/>
  </cols>
  <sheetData>
    <row r="1" spans="1:8">
      <c r="A1" s="374" t="s">
        <v>30</v>
      </c>
    </row>
    <row r="2" spans="1:8" ht="13.5">
      <c r="A2" s="374" t="s">
        <v>31</v>
      </c>
      <c r="B2" s="407">
        <f>'1. key ratios '!B2</f>
        <v>44742</v>
      </c>
    </row>
    <row r="3" spans="1:8">
      <c r="A3" s="375" t="s">
        <v>544</v>
      </c>
    </row>
    <row r="5" spans="1:8" ht="15" customHeight="1">
      <c r="A5" s="675" t="s">
        <v>545</v>
      </c>
      <c r="B5" s="676"/>
      <c r="C5" s="681" t="s">
        <v>546</v>
      </c>
      <c r="D5" s="682"/>
      <c r="E5" s="682"/>
      <c r="F5" s="682"/>
      <c r="G5" s="682"/>
      <c r="H5" s="683"/>
    </row>
    <row r="6" spans="1:8">
      <c r="A6" s="677"/>
      <c r="B6" s="678"/>
      <c r="C6" s="684"/>
      <c r="D6" s="685"/>
      <c r="E6" s="685"/>
      <c r="F6" s="685"/>
      <c r="G6" s="685"/>
      <c r="H6" s="686"/>
    </row>
    <row r="7" spans="1:8">
      <c r="A7" s="679"/>
      <c r="B7" s="680"/>
      <c r="C7" s="404" t="s">
        <v>547</v>
      </c>
      <c r="D7" s="404" t="s">
        <v>548</v>
      </c>
      <c r="E7" s="404" t="s">
        <v>549</v>
      </c>
      <c r="F7" s="404" t="s">
        <v>550</v>
      </c>
      <c r="G7" s="404" t="s">
        <v>551</v>
      </c>
      <c r="H7" s="404" t="s">
        <v>109</v>
      </c>
    </row>
    <row r="8" spans="1:8">
      <c r="A8" s="377">
        <v>1</v>
      </c>
      <c r="B8" s="376" t="s">
        <v>96</v>
      </c>
      <c r="C8" s="585">
        <v>126868087.36</v>
      </c>
      <c r="D8" s="585">
        <v>70957728.430000007</v>
      </c>
      <c r="E8" s="585">
        <v>70388658.859999999</v>
      </c>
      <c r="F8" s="585">
        <v>10790000</v>
      </c>
      <c r="G8" s="585">
        <v>0</v>
      </c>
      <c r="H8" s="585">
        <f>SUM(C8:G8)</f>
        <v>279004474.65000004</v>
      </c>
    </row>
    <row r="9" spans="1:8">
      <c r="A9" s="377">
        <v>2</v>
      </c>
      <c r="B9" s="376" t="s">
        <v>97</v>
      </c>
      <c r="C9" s="585">
        <v>0</v>
      </c>
      <c r="D9" s="585">
        <v>0</v>
      </c>
      <c r="E9" s="585">
        <v>0</v>
      </c>
      <c r="F9" s="585">
        <v>0</v>
      </c>
      <c r="G9" s="585">
        <v>0</v>
      </c>
      <c r="H9" s="585">
        <f t="shared" ref="H9:H21" si="0">SUM(C9:G9)</f>
        <v>0</v>
      </c>
    </row>
    <row r="10" spans="1:8">
      <c r="A10" s="377">
        <v>3</v>
      </c>
      <c r="B10" s="376" t="s">
        <v>269</v>
      </c>
      <c r="C10" s="585">
        <v>0</v>
      </c>
      <c r="D10" s="585">
        <v>0</v>
      </c>
      <c r="E10" s="585">
        <v>0</v>
      </c>
      <c r="F10" s="585">
        <v>0</v>
      </c>
      <c r="G10" s="585">
        <v>0</v>
      </c>
      <c r="H10" s="585">
        <f t="shared" si="0"/>
        <v>0</v>
      </c>
    </row>
    <row r="11" spans="1:8">
      <c r="A11" s="377">
        <v>4</v>
      </c>
      <c r="B11" s="376" t="s">
        <v>98</v>
      </c>
      <c r="C11" s="585">
        <v>0</v>
      </c>
      <c r="D11" s="585">
        <v>0</v>
      </c>
      <c r="E11" s="585">
        <v>0</v>
      </c>
      <c r="F11" s="585">
        <v>0</v>
      </c>
      <c r="G11" s="585">
        <v>0</v>
      </c>
      <c r="H11" s="585">
        <f t="shared" si="0"/>
        <v>0</v>
      </c>
    </row>
    <row r="12" spans="1:8">
      <c r="A12" s="377">
        <v>5</v>
      </c>
      <c r="B12" s="376" t="s">
        <v>99</v>
      </c>
      <c r="C12" s="585">
        <v>0</v>
      </c>
      <c r="D12" s="585">
        <v>0</v>
      </c>
      <c r="E12" s="585">
        <v>0</v>
      </c>
      <c r="F12" s="585">
        <v>0</v>
      </c>
      <c r="G12" s="585">
        <v>0</v>
      </c>
      <c r="H12" s="585">
        <f t="shared" si="0"/>
        <v>0</v>
      </c>
    </row>
    <row r="13" spans="1:8">
      <c r="A13" s="377">
        <v>6</v>
      </c>
      <c r="B13" s="376" t="s">
        <v>100</v>
      </c>
      <c r="C13" s="585">
        <v>7856780.1099999994</v>
      </c>
      <c r="D13" s="585">
        <v>0</v>
      </c>
      <c r="E13" s="585">
        <v>0</v>
      </c>
      <c r="F13" s="585">
        <v>2051681.74</v>
      </c>
      <c r="G13" s="585">
        <v>0</v>
      </c>
      <c r="H13" s="585">
        <f t="shared" si="0"/>
        <v>9908461.8499999996</v>
      </c>
    </row>
    <row r="14" spans="1:8">
      <c r="A14" s="377">
        <v>7</v>
      </c>
      <c r="B14" s="376" t="s">
        <v>101</v>
      </c>
      <c r="C14" s="585">
        <v>0</v>
      </c>
      <c r="D14" s="585">
        <v>119004341.76180714</v>
      </c>
      <c r="E14" s="585">
        <v>178342883.15769306</v>
      </c>
      <c r="F14" s="585">
        <v>311381122.2935046</v>
      </c>
      <c r="G14" s="585">
        <v>387813.36868141906</v>
      </c>
      <c r="H14" s="585">
        <f t="shared" si="0"/>
        <v>609116160.58168626</v>
      </c>
    </row>
    <row r="15" spans="1:8">
      <c r="A15" s="377">
        <v>8</v>
      </c>
      <c r="B15" s="376" t="s">
        <v>102</v>
      </c>
      <c r="C15" s="585">
        <v>0</v>
      </c>
      <c r="D15" s="585">
        <v>17056594.439935025</v>
      </c>
      <c r="E15" s="585">
        <v>118565643.52018334</v>
      </c>
      <c r="F15" s="585">
        <v>129217833.48825438</v>
      </c>
      <c r="G15" s="585">
        <v>242589.20147064011</v>
      </c>
      <c r="H15" s="585">
        <f t="shared" si="0"/>
        <v>265082660.64984336</v>
      </c>
    </row>
    <row r="16" spans="1:8">
      <c r="A16" s="377">
        <v>9</v>
      </c>
      <c r="B16" s="376" t="s">
        <v>103</v>
      </c>
      <c r="C16" s="585">
        <v>0</v>
      </c>
      <c r="D16" s="585">
        <v>4436835.419305345</v>
      </c>
      <c r="E16" s="585">
        <v>32262611.960405894</v>
      </c>
      <c r="F16" s="585">
        <v>74367730.801988944</v>
      </c>
      <c r="G16" s="585">
        <v>219387.31302314901</v>
      </c>
      <c r="H16" s="585">
        <f t="shared" si="0"/>
        <v>111286565.49472333</v>
      </c>
    </row>
    <row r="17" spans="1:8">
      <c r="A17" s="377">
        <v>10</v>
      </c>
      <c r="B17" s="408" t="s">
        <v>563</v>
      </c>
      <c r="C17" s="585">
        <v>0</v>
      </c>
      <c r="D17" s="585">
        <v>1119590.267630694</v>
      </c>
      <c r="E17" s="585">
        <v>6057760.5585855665</v>
      </c>
      <c r="F17" s="585">
        <v>2536728.1751926965</v>
      </c>
      <c r="G17" s="585">
        <v>0</v>
      </c>
      <c r="H17" s="585">
        <f t="shared" si="0"/>
        <v>9714079.0014089569</v>
      </c>
    </row>
    <row r="18" spans="1:8">
      <c r="A18" s="377">
        <v>11</v>
      </c>
      <c r="B18" s="376" t="s">
        <v>105</v>
      </c>
      <c r="C18" s="585">
        <v>0</v>
      </c>
      <c r="D18" s="585">
        <v>1834087.9992047499</v>
      </c>
      <c r="E18" s="585">
        <v>13475488.897588154</v>
      </c>
      <c r="F18" s="585">
        <v>29846526.182955787</v>
      </c>
      <c r="G18" s="585">
        <v>0</v>
      </c>
      <c r="H18" s="585">
        <f t="shared" si="0"/>
        <v>45156103.07974869</v>
      </c>
    </row>
    <row r="19" spans="1:8">
      <c r="A19" s="377">
        <v>12</v>
      </c>
      <c r="B19" s="376" t="s">
        <v>106</v>
      </c>
      <c r="C19" s="585">
        <v>0</v>
      </c>
      <c r="D19" s="585">
        <v>0</v>
      </c>
      <c r="E19" s="585">
        <v>0</v>
      </c>
      <c r="F19" s="585">
        <v>0</v>
      </c>
      <c r="G19" s="585">
        <v>0</v>
      </c>
      <c r="H19" s="585">
        <f t="shared" si="0"/>
        <v>0</v>
      </c>
    </row>
    <row r="20" spans="1:8">
      <c r="A20" s="377">
        <v>13</v>
      </c>
      <c r="B20" s="376" t="s">
        <v>247</v>
      </c>
      <c r="C20" s="585">
        <v>0</v>
      </c>
      <c r="D20" s="585">
        <v>0</v>
      </c>
      <c r="E20" s="585">
        <v>0</v>
      </c>
      <c r="F20" s="585">
        <v>0</v>
      </c>
      <c r="G20" s="585">
        <v>0</v>
      </c>
      <c r="H20" s="585">
        <f t="shared" si="0"/>
        <v>0</v>
      </c>
    </row>
    <row r="21" spans="1:8">
      <c r="A21" s="377">
        <v>14</v>
      </c>
      <c r="B21" s="376" t="s">
        <v>108</v>
      </c>
      <c r="C21" s="585">
        <v>33597037.74000001</v>
      </c>
      <c r="D21" s="585">
        <v>0</v>
      </c>
      <c r="E21" s="585">
        <v>0</v>
      </c>
      <c r="F21" s="585">
        <v>5802526.0240000002</v>
      </c>
      <c r="G21" s="585">
        <v>27672786.910000015</v>
      </c>
      <c r="H21" s="585">
        <f t="shared" si="0"/>
        <v>67072350.674000025</v>
      </c>
    </row>
    <row r="22" spans="1:8">
      <c r="A22" s="378">
        <v>15</v>
      </c>
      <c r="B22" s="384" t="s">
        <v>109</v>
      </c>
      <c r="C22" s="585">
        <f>SUM(C18:C21)+SUM(C8:C16)</f>
        <v>168321905.21000001</v>
      </c>
      <c r="D22" s="585">
        <f t="shared" ref="D22:G22" si="1">SUM(D18:D21)+SUM(D8:D16)</f>
        <v>213289588.05025229</v>
      </c>
      <c r="E22" s="585">
        <f t="shared" si="1"/>
        <v>413035286.39587039</v>
      </c>
      <c r="F22" s="585">
        <f t="shared" si="1"/>
        <v>563457420.53070378</v>
      </c>
      <c r="G22" s="585">
        <f t="shared" si="1"/>
        <v>28522576.793175224</v>
      </c>
      <c r="H22" s="585">
        <f>SUM(H18:H21)+SUM(H8:H16)</f>
        <v>1386626776.9800017</v>
      </c>
    </row>
    <row r="26" spans="1:8" ht="25.5">
      <c r="B26" s="409"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5" zoomScaleNormal="85" workbookViewId="0">
      <selection activeCell="C7" sqref="C7:I23"/>
    </sheetView>
  </sheetViews>
  <sheetFormatPr defaultColWidth="9.140625" defaultRowHeight="12.75"/>
  <cols>
    <col min="1" max="1" width="11.85546875" style="410" bestFit="1" customWidth="1"/>
    <col min="2" max="2" width="114.7109375" style="382" customWidth="1"/>
    <col min="3" max="3" width="22.42578125" style="382" customWidth="1"/>
    <col min="4" max="4" width="23.5703125" style="382" customWidth="1"/>
    <col min="5" max="8" width="22.140625" style="382" customWidth="1"/>
    <col min="9" max="9" width="41.42578125" style="382" customWidth="1"/>
    <col min="10" max="16384" width="9.140625" style="382"/>
  </cols>
  <sheetData>
    <row r="1" spans="1:9">
      <c r="A1" s="374" t="s">
        <v>30</v>
      </c>
    </row>
    <row r="2" spans="1:9" ht="13.5">
      <c r="A2" s="374" t="s">
        <v>31</v>
      </c>
      <c r="B2" s="407">
        <f>'1. key ratios '!B2</f>
        <v>44742</v>
      </c>
    </row>
    <row r="3" spans="1:9">
      <c r="A3" s="375" t="s">
        <v>552</v>
      </c>
    </row>
    <row r="4" spans="1:9">
      <c r="C4" s="411" t="s">
        <v>0</v>
      </c>
      <c r="D4" s="411" t="s">
        <v>1</v>
      </c>
      <c r="E4" s="411" t="s">
        <v>2</v>
      </c>
      <c r="F4" s="411" t="s">
        <v>3</v>
      </c>
      <c r="G4" s="411" t="s">
        <v>4</v>
      </c>
      <c r="H4" s="411" t="s">
        <v>5</v>
      </c>
      <c r="I4" s="411" t="s">
        <v>8</v>
      </c>
    </row>
    <row r="5" spans="1:9" ht="44.25" customHeight="1">
      <c r="A5" s="675" t="s">
        <v>553</v>
      </c>
      <c r="B5" s="676"/>
      <c r="C5" s="689" t="s">
        <v>554</v>
      </c>
      <c r="D5" s="689"/>
      <c r="E5" s="689" t="s">
        <v>555</v>
      </c>
      <c r="F5" s="689" t="s">
        <v>556</v>
      </c>
      <c r="G5" s="687" t="s">
        <v>557</v>
      </c>
      <c r="H5" s="687" t="s">
        <v>558</v>
      </c>
      <c r="I5" s="412" t="s">
        <v>559</v>
      </c>
    </row>
    <row r="6" spans="1:9" ht="60" customHeight="1">
      <c r="A6" s="679"/>
      <c r="B6" s="680"/>
      <c r="C6" s="400" t="s">
        <v>560</v>
      </c>
      <c r="D6" s="400" t="s">
        <v>561</v>
      </c>
      <c r="E6" s="689"/>
      <c r="F6" s="689"/>
      <c r="G6" s="688"/>
      <c r="H6" s="688"/>
      <c r="I6" s="412" t="s">
        <v>562</v>
      </c>
    </row>
    <row r="7" spans="1:9">
      <c r="A7" s="380">
        <v>1</v>
      </c>
      <c r="B7" s="376" t="s">
        <v>96</v>
      </c>
      <c r="C7" s="586">
        <v>0</v>
      </c>
      <c r="D7" s="586">
        <v>279004474.6500001</v>
      </c>
      <c r="E7" s="587">
        <v>0</v>
      </c>
      <c r="F7" s="587">
        <v>0</v>
      </c>
      <c r="G7" s="587">
        <v>0</v>
      </c>
      <c r="H7" s="586">
        <v>0</v>
      </c>
      <c r="I7" s="588">
        <f t="shared" ref="I7:I23" si="0">C7+D7-E7-F7-G7</f>
        <v>279004474.6500001</v>
      </c>
    </row>
    <row r="8" spans="1:9">
      <c r="A8" s="380">
        <v>2</v>
      </c>
      <c r="B8" s="376" t="s">
        <v>97</v>
      </c>
      <c r="C8" s="586">
        <v>0</v>
      </c>
      <c r="D8" s="586">
        <v>0</v>
      </c>
      <c r="E8" s="587">
        <v>0</v>
      </c>
      <c r="F8" s="587">
        <v>0</v>
      </c>
      <c r="G8" s="587">
        <v>0</v>
      </c>
      <c r="H8" s="586">
        <v>0</v>
      </c>
      <c r="I8" s="588">
        <f t="shared" si="0"/>
        <v>0</v>
      </c>
    </row>
    <row r="9" spans="1:9">
      <c r="A9" s="380">
        <v>3</v>
      </c>
      <c r="B9" s="376" t="s">
        <v>269</v>
      </c>
      <c r="C9" s="586">
        <v>0</v>
      </c>
      <c r="D9" s="586">
        <v>0</v>
      </c>
      <c r="E9" s="587">
        <v>0</v>
      </c>
      <c r="F9" s="587">
        <v>0</v>
      </c>
      <c r="G9" s="587">
        <v>0</v>
      </c>
      <c r="H9" s="586">
        <v>0</v>
      </c>
      <c r="I9" s="588">
        <f t="shared" si="0"/>
        <v>0</v>
      </c>
    </row>
    <row r="10" spans="1:9">
      <c r="A10" s="380">
        <v>4</v>
      </c>
      <c r="B10" s="376" t="s">
        <v>98</v>
      </c>
      <c r="C10" s="586">
        <v>0</v>
      </c>
      <c r="D10" s="586">
        <v>0</v>
      </c>
      <c r="E10" s="587">
        <v>0</v>
      </c>
      <c r="F10" s="587">
        <v>0</v>
      </c>
      <c r="G10" s="587">
        <v>0</v>
      </c>
      <c r="H10" s="586">
        <v>0</v>
      </c>
      <c r="I10" s="588">
        <f t="shared" si="0"/>
        <v>0</v>
      </c>
    </row>
    <row r="11" spans="1:9">
      <c r="A11" s="380">
        <v>5</v>
      </c>
      <c r="B11" s="376" t="s">
        <v>99</v>
      </c>
      <c r="C11" s="586">
        <v>0</v>
      </c>
      <c r="D11" s="586">
        <v>0</v>
      </c>
      <c r="E11" s="587">
        <v>0</v>
      </c>
      <c r="F11" s="587">
        <v>0</v>
      </c>
      <c r="G11" s="587">
        <v>0</v>
      </c>
      <c r="H11" s="586">
        <v>0</v>
      </c>
      <c r="I11" s="588">
        <f t="shared" si="0"/>
        <v>0</v>
      </c>
    </row>
    <row r="12" spans="1:9">
      <c r="A12" s="380">
        <v>6</v>
      </c>
      <c r="B12" s="376" t="s">
        <v>100</v>
      </c>
      <c r="C12" s="586">
        <v>66423.87</v>
      </c>
      <c r="D12" s="586">
        <v>9908461.8499999996</v>
      </c>
      <c r="E12" s="587">
        <v>66423.87</v>
      </c>
      <c r="F12" s="587">
        <v>0</v>
      </c>
      <c r="G12" s="587">
        <v>0</v>
      </c>
      <c r="H12" s="586">
        <v>0</v>
      </c>
      <c r="I12" s="588">
        <f t="shared" si="0"/>
        <v>9908461.8499999996</v>
      </c>
    </row>
    <row r="13" spans="1:9">
      <c r="A13" s="380">
        <v>7</v>
      </c>
      <c r="B13" s="376" t="s">
        <v>101</v>
      </c>
      <c r="C13" s="586">
        <v>9516014.8594628386</v>
      </c>
      <c r="D13" s="586">
        <v>607342914.14377403</v>
      </c>
      <c r="E13" s="587">
        <v>7496243.2399976645</v>
      </c>
      <c r="F13" s="587">
        <v>11027414.904848857</v>
      </c>
      <c r="G13" s="587">
        <v>246525.18155694817</v>
      </c>
      <c r="H13" s="586">
        <v>0</v>
      </c>
      <c r="I13" s="588">
        <f t="shared" si="0"/>
        <v>598088745.67683351</v>
      </c>
    </row>
    <row r="14" spans="1:9">
      <c r="A14" s="380">
        <v>8</v>
      </c>
      <c r="B14" s="376" t="s">
        <v>102</v>
      </c>
      <c r="C14" s="586">
        <v>33919310.435324542</v>
      </c>
      <c r="D14" s="586">
        <v>247540480.52241233</v>
      </c>
      <c r="E14" s="587">
        <v>15924435.937621947</v>
      </c>
      <c r="F14" s="587">
        <v>4251988.0654128669</v>
      </c>
      <c r="G14" s="587">
        <v>452694.37027301983</v>
      </c>
      <c r="H14" s="586">
        <v>1058614.0400000003</v>
      </c>
      <c r="I14" s="588">
        <f t="shared" si="0"/>
        <v>260830672.584429</v>
      </c>
    </row>
    <row r="15" spans="1:9">
      <c r="A15" s="380">
        <v>9</v>
      </c>
      <c r="B15" s="376" t="s">
        <v>103</v>
      </c>
      <c r="C15" s="586">
        <v>11410583.635212604</v>
      </c>
      <c r="D15" s="586">
        <v>105110508.84854609</v>
      </c>
      <c r="E15" s="587">
        <v>4919450.4153803764</v>
      </c>
      <c r="F15" s="587">
        <v>1890169.4286752592</v>
      </c>
      <c r="G15" s="587">
        <v>315076.57365493383</v>
      </c>
      <c r="H15" s="586">
        <v>0</v>
      </c>
      <c r="I15" s="588">
        <f t="shared" si="0"/>
        <v>109396396.06604812</v>
      </c>
    </row>
    <row r="16" spans="1:9">
      <c r="A16" s="380">
        <v>10</v>
      </c>
      <c r="B16" s="408" t="s">
        <v>563</v>
      </c>
      <c r="C16" s="586">
        <v>17247635.27999999</v>
      </c>
      <c r="D16" s="586">
        <v>475715.68</v>
      </c>
      <c r="E16" s="587">
        <v>7996776.7719999999</v>
      </c>
      <c r="F16" s="587">
        <v>0</v>
      </c>
      <c r="G16" s="587">
        <v>12495.186591043592</v>
      </c>
      <c r="H16" s="586">
        <v>424815.79999999987</v>
      </c>
      <c r="I16" s="588">
        <f t="shared" si="0"/>
        <v>9714079.0014089458</v>
      </c>
    </row>
    <row r="17" spans="1:9">
      <c r="A17" s="380">
        <v>11</v>
      </c>
      <c r="B17" s="376" t="s">
        <v>105</v>
      </c>
      <c r="C17" s="586">
        <v>136221.07999999999</v>
      </c>
      <c r="D17" s="586">
        <v>45445707.565263741</v>
      </c>
      <c r="E17" s="587">
        <v>141019.69100000002</v>
      </c>
      <c r="F17" s="587">
        <v>879858.58766304189</v>
      </c>
      <c r="G17" s="587">
        <v>284805.87451509712</v>
      </c>
      <c r="H17" s="586">
        <v>0</v>
      </c>
      <c r="I17" s="588">
        <f t="shared" si="0"/>
        <v>44276244.492085606</v>
      </c>
    </row>
    <row r="18" spans="1:9">
      <c r="A18" s="380">
        <v>12</v>
      </c>
      <c r="B18" s="376" t="s">
        <v>106</v>
      </c>
      <c r="C18" s="586">
        <v>0</v>
      </c>
      <c r="D18" s="586">
        <v>0</v>
      </c>
      <c r="E18" s="587">
        <v>0</v>
      </c>
      <c r="F18" s="587">
        <v>0</v>
      </c>
      <c r="G18" s="587">
        <v>0</v>
      </c>
      <c r="H18" s="586">
        <v>0</v>
      </c>
      <c r="I18" s="588">
        <f t="shared" si="0"/>
        <v>0</v>
      </c>
    </row>
    <row r="19" spans="1:9">
      <c r="A19" s="380">
        <v>13</v>
      </c>
      <c r="B19" s="376" t="s">
        <v>247</v>
      </c>
      <c r="C19" s="586">
        <v>0</v>
      </c>
      <c r="D19" s="586">
        <v>0</v>
      </c>
      <c r="E19" s="587">
        <v>0</v>
      </c>
      <c r="F19" s="587">
        <v>0</v>
      </c>
      <c r="G19" s="587">
        <v>0</v>
      </c>
      <c r="H19" s="586">
        <v>0</v>
      </c>
      <c r="I19" s="588">
        <f t="shared" si="0"/>
        <v>0</v>
      </c>
    </row>
    <row r="20" spans="1:9">
      <c r="A20" s="380">
        <v>14</v>
      </c>
      <c r="B20" s="376" t="s">
        <v>108</v>
      </c>
      <c r="C20" s="586">
        <v>29447980.019999996</v>
      </c>
      <c r="D20" s="586">
        <v>86203086.181999967</v>
      </c>
      <c r="E20" s="587">
        <v>24927819.641999993</v>
      </c>
      <c r="F20" s="587">
        <v>0</v>
      </c>
      <c r="G20" s="587">
        <v>0</v>
      </c>
      <c r="H20" s="586">
        <v>0</v>
      </c>
      <c r="I20" s="588">
        <f t="shared" si="0"/>
        <v>90723246.559999973</v>
      </c>
    </row>
    <row r="21" spans="1:9" s="413" customFormat="1">
      <c r="A21" s="381">
        <v>15</v>
      </c>
      <c r="B21" s="384" t="s">
        <v>109</v>
      </c>
      <c r="C21" s="585">
        <f>SUM(C7:C15)+SUM(C17:C20)</f>
        <v>84496533.899999976</v>
      </c>
      <c r="D21" s="585">
        <f t="shared" ref="D21:H21" si="1">SUM(D7:D15)+SUM(D17:D20)</f>
        <v>1380555633.7619963</v>
      </c>
      <c r="E21" s="585">
        <f t="shared" si="1"/>
        <v>53475392.795999981</v>
      </c>
      <c r="F21" s="585">
        <f t="shared" si="1"/>
        <v>18049430.986600026</v>
      </c>
      <c r="G21" s="585">
        <v>1299101.9999999991</v>
      </c>
      <c r="H21" s="585">
        <f t="shared" si="1"/>
        <v>1058614.0400000003</v>
      </c>
      <c r="I21" s="588">
        <f t="shared" si="0"/>
        <v>1392228241.8793964</v>
      </c>
    </row>
    <row r="22" spans="1:9">
      <c r="A22" s="414">
        <v>16</v>
      </c>
      <c r="B22" s="415" t="s">
        <v>564</v>
      </c>
      <c r="C22" s="586">
        <v>54982130.009999976</v>
      </c>
      <c r="D22" s="586">
        <v>1000417764.1599962</v>
      </c>
      <c r="E22" s="587">
        <v>28481149.283999994</v>
      </c>
      <c r="F22" s="587">
        <v>17949430.986600026</v>
      </c>
      <c r="G22" s="587">
        <v>1299101.9999999991</v>
      </c>
      <c r="H22" s="586">
        <v>1058614.0400000003</v>
      </c>
      <c r="I22" s="588">
        <f t="shared" si="0"/>
        <v>1007670211.8993961</v>
      </c>
    </row>
    <row r="23" spans="1:9">
      <c r="A23" s="414">
        <v>17</v>
      </c>
      <c r="B23" s="415" t="s">
        <v>565</v>
      </c>
      <c r="C23" s="586">
        <v>0</v>
      </c>
      <c r="D23" s="586">
        <v>154782099.54999998</v>
      </c>
      <c r="E23" s="587">
        <v>0</v>
      </c>
      <c r="F23" s="587">
        <v>0</v>
      </c>
      <c r="G23" s="587">
        <v>0</v>
      </c>
      <c r="H23" s="586">
        <v>0</v>
      </c>
      <c r="I23" s="588">
        <f t="shared" si="0"/>
        <v>154782099.54999998</v>
      </c>
    </row>
    <row r="26" spans="1:9" ht="25.5">
      <c r="B26" s="409"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14" workbookViewId="0">
      <selection activeCell="B31" sqref="B31:C31"/>
    </sheetView>
  </sheetViews>
  <sheetFormatPr defaultColWidth="9.140625" defaultRowHeight="12.75"/>
  <cols>
    <col min="1" max="1" width="11" style="382" bestFit="1" customWidth="1"/>
    <col min="2" max="2" width="93.42578125" style="382" customWidth="1"/>
    <col min="3" max="8" width="22" style="382" customWidth="1"/>
    <col min="9" max="9" width="42.28515625" style="382" bestFit="1" customWidth="1"/>
    <col min="10" max="16384" width="9.140625" style="382"/>
  </cols>
  <sheetData>
    <row r="1" spans="1:9">
      <c r="A1" s="374" t="s">
        <v>30</v>
      </c>
    </row>
    <row r="2" spans="1:9" ht="13.5">
      <c r="A2" s="374" t="s">
        <v>31</v>
      </c>
      <c r="B2" s="407">
        <f>'1. key ratios '!B2</f>
        <v>44742</v>
      </c>
    </row>
    <row r="3" spans="1:9">
      <c r="A3" s="375" t="s">
        <v>566</v>
      </c>
    </row>
    <row r="4" spans="1:9">
      <c r="C4" s="411" t="s">
        <v>0</v>
      </c>
      <c r="D4" s="411" t="s">
        <v>1</v>
      </c>
      <c r="E4" s="411" t="s">
        <v>2</v>
      </c>
      <c r="F4" s="411" t="s">
        <v>3</v>
      </c>
      <c r="G4" s="411" t="s">
        <v>4</v>
      </c>
      <c r="H4" s="411" t="s">
        <v>5</v>
      </c>
      <c r="I4" s="411" t="s">
        <v>8</v>
      </c>
    </row>
    <row r="5" spans="1:9" ht="46.5" customHeight="1">
      <c r="A5" s="675" t="s">
        <v>707</v>
      </c>
      <c r="B5" s="676"/>
      <c r="C5" s="689" t="s">
        <v>554</v>
      </c>
      <c r="D5" s="689"/>
      <c r="E5" s="689" t="s">
        <v>555</v>
      </c>
      <c r="F5" s="689" t="s">
        <v>556</v>
      </c>
      <c r="G5" s="687" t="s">
        <v>557</v>
      </c>
      <c r="H5" s="687" t="s">
        <v>558</v>
      </c>
      <c r="I5" s="412" t="s">
        <v>559</v>
      </c>
    </row>
    <row r="6" spans="1:9" ht="75" customHeight="1">
      <c r="A6" s="679"/>
      <c r="B6" s="680"/>
      <c r="C6" s="400" t="s">
        <v>560</v>
      </c>
      <c r="D6" s="400" t="s">
        <v>561</v>
      </c>
      <c r="E6" s="689"/>
      <c r="F6" s="689"/>
      <c r="G6" s="688"/>
      <c r="H6" s="688"/>
      <c r="I6" s="412" t="s">
        <v>562</v>
      </c>
    </row>
    <row r="7" spans="1:9">
      <c r="A7" s="379">
        <v>1</v>
      </c>
      <c r="B7" s="383" t="s">
        <v>697</v>
      </c>
      <c r="C7" s="586">
        <v>2007366.6374000001</v>
      </c>
      <c r="D7" s="586">
        <v>347263245.02810025</v>
      </c>
      <c r="E7" s="586">
        <v>1277123.4925999988</v>
      </c>
      <c r="F7" s="586">
        <v>1285679.4224999989</v>
      </c>
      <c r="G7" s="586">
        <v>427966.485107432</v>
      </c>
      <c r="H7" s="586">
        <v>102686.89999999998</v>
      </c>
      <c r="I7" s="588">
        <v>346279842.26529276</v>
      </c>
    </row>
    <row r="8" spans="1:9">
      <c r="A8" s="379">
        <v>2</v>
      </c>
      <c r="B8" s="383" t="s">
        <v>567</v>
      </c>
      <c r="C8" s="586">
        <v>421607.88059999997</v>
      </c>
      <c r="D8" s="586">
        <v>48259340.404600009</v>
      </c>
      <c r="E8" s="586">
        <v>297374.3112</v>
      </c>
      <c r="F8" s="586">
        <v>743738.52260000014</v>
      </c>
      <c r="G8" s="586">
        <v>88454.820302483771</v>
      </c>
      <c r="H8" s="586">
        <v>23500</v>
      </c>
      <c r="I8" s="588">
        <v>47551380.631097518</v>
      </c>
    </row>
    <row r="9" spans="1:9">
      <c r="A9" s="379">
        <v>3</v>
      </c>
      <c r="B9" s="383" t="s">
        <v>568</v>
      </c>
      <c r="C9" s="586">
        <v>0</v>
      </c>
      <c r="D9" s="586">
        <v>30478669.781800006</v>
      </c>
      <c r="E9" s="586">
        <v>5795.5316000000003</v>
      </c>
      <c r="F9" s="586">
        <v>607749.98539999989</v>
      </c>
      <c r="G9" s="586">
        <v>104.84188037407679</v>
      </c>
      <c r="H9" s="586">
        <v>0</v>
      </c>
      <c r="I9" s="588">
        <v>29865019.422919635</v>
      </c>
    </row>
    <row r="10" spans="1:9">
      <c r="A10" s="379">
        <v>4</v>
      </c>
      <c r="B10" s="383" t="s">
        <v>698</v>
      </c>
      <c r="C10" s="586">
        <v>990082.20160000003</v>
      </c>
      <c r="D10" s="586">
        <v>85282562.958499998</v>
      </c>
      <c r="E10" s="586">
        <v>785927.06200000003</v>
      </c>
      <c r="F10" s="586">
        <v>1601218.8603999992</v>
      </c>
      <c r="G10" s="586">
        <v>35123.389330060032</v>
      </c>
      <c r="H10" s="586">
        <v>0</v>
      </c>
      <c r="I10" s="588">
        <v>83850375.848369926</v>
      </c>
    </row>
    <row r="11" spans="1:9">
      <c r="A11" s="379">
        <v>5</v>
      </c>
      <c r="B11" s="383" t="s">
        <v>569</v>
      </c>
      <c r="C11" s="586">
        <v>6282955.6121999994</v>
      </c>
      <c r="D11" s="586">
        <v>85585230.08039999</v>
      </c>
      <c r="E11" s="586">
        <v>3310732.6496999995</v>
      </c>
      <c r="F11" s="586">
        <v>1488887.3860000006</v>
      </c>
      <c r="G11" s="586">
        <v>38985.383288285972</v>
      </c>
      <c r="H11" s="586">
        <v>0</v>
      </c>
      <c r="I11" s="588">
        <v>87029580.273611695</v>
      </c>
    </row>
    <row r="12" spans="1:9">
      <c r="A12" s="379">
        <v>6</v>
      </c>
      <c r="B12" s="383" t="s">
        <v>570</v>
      </c>
      <c r="C12" s="586">
        <v>2000541.5356999999</v>
      </c>
      <c r="D12" s="586">
        <v>29897473.207600001</v>
      </c>
      <c r="E12" s="586">
        <v>820400.69609999994</v>
      </c>
      <c r="F12" s="586">
        <v>570064.0480999999</v>
      </c>
      <c r="G12" s="586">
        <v>47907.378597225797</v>
      </c>
      <c r="H12" s="586">
        <v>17929.310000000001</v>
      </c>
      <c r="I12" s="588">
        <v>30459642.620502777</v>
      </c>
    </row>
    <row r="13" spans="1:9">
      <c r="A13" s="379">
        <v>7</v>
      </c>
      <c r="B13" s="383" t="s">
        <v>571</v>
      </c>
      <c r="C13" s="586">
        <v>1331737.3848000001</v>
      </c>
      <c r="D13" s="586">
        <v>56582970.39419999</v>
      </c>
      <c r="E13" s="586">
        <v>470757.48590000003</v>
      </c>
      <c r="F13" s="586">
        <v>1112649.5710999998</v>
      </c>
      <c r="G13" s="586">
        <v>1494.2291466124248</v>
      </c>
      <c r="H13" s="586">
        <v>0</v>
      </c>
      <c r="I13" s="588">
        <v>56329806.492853381</v>
      </c>
    </row>
    <row r="14" spans="1:9">
      <c r="A14" s="379">
        <v>8</v>
      </c>
      <c r="B14" s="383" t="s">
        <v>572</v>
      </c>
      <c r="C14" s="586">
        <v>1793787.4083000002</v>
      </c>
      <c r="D14" s="586">
        <v>44553732.391199999</v>
      </c>
      <c r="E14" s="586">
        <v>767327.6730999999</v>
      </c>
      <c r="F14" s="586">
        <v>853187.42340000032</v>
      </c>
      <c r="G14" s="586">
        <v>1664.5944370768311</v>
      </c>
      <c r="H14" s="586">
        <v>0</v>
      </c>
      <c r="I14" s="588">
        <v>44725340.108562917</v>
      </c>
    </row>
    <row r="15" spans="1:9">
      <c r="A15" s="379">
        <v>9</v>
      </c>
      <c r="B15" s="383" t="s">
        <v>573</v>
      </c>
      <c r="C15" s="586">
        <v>51805.13</v>
      </c>
      <c r="D15" s="586">
        <v>28624128.782500003</v>
      </c>
      <c r="E15" s="586">
        <v>152615.32019999999</v>
      </c>
      <c r="F15" s="586">
        <v>541184.22479999997</v>
      </c>
      <c r="G15" s="586">
        <v>399.93558273215837</v>
      </c>
      <c r="H15" s="586">
        <v>0</v>
      </c>
      <c r="I15" s="588">
        <v>27981734.431917269</v>
      </c>
    </row>
    <row r="16" spans="1:9">
      <c r="A16" s="379">
        <v>10</v>
      </c>
      <c r="B16" s="383" t="s">
        <v>574</v>
      </c>
      <c r="C16" s="586">
        <v>757590.56270000001</v>
      </c>
      <c r="D16" s="586">
        <v>12181003.688699996</v>
      </c>
      <c r="E16" s="586">
        <v>447585.7634</v>
      </c>
      <c r="F16" s="586">
        <v>198504.73609999995</v>
      </c>
      <c r="G16" s="586">
        <v>87.9979891277425</v>
      </c>
      <c r="H16" s="586">
        <v>19762.8</v>
      </c>
      <c r="I16" s="588">
        <v>12292415.753910869</v>
      </c>
    </row>
    <row r="17" spans="1:9">
      <c r="A17" s="379">
        <v>11</v>
      </c>
      <c r="B17" s="383" t="s">
        <v>575</v>
      </c>
      <c r="C17" s="586">
        <v>889151.95270000002</v>
      </c>
      <c r="D17" s="586">
        <v>6652399.6345000016</v>
      </c>
      <c r="E17" s="586">
        <v>508295.62939999998</v>
      </c>
      <c r="F17" s="586">
        <v>112960.97899999996</v>
      </c>
      <c r="G17" s="586">
        <v>230.88906762607417</v>
      </c>
      <c r="H17" s="586">
        <v>0</v>
      </c>
      <c r="I17" s="588">
        <v>6920064.0897323759</v>
      </c>
    </row>
    <row r="18" spans="1:9">
      <c r="A18" s="379">
        <v>12</v>
      </c>
      <c r="B18" s="383" t="s">
        <v>576</v>
      </c>
      <c r="C18" s="586">
        <v>5196743.0691</v>
      </c>
      <c r="D18" s="586">
        <v>66803677.56759993</v>
      </c>
      <c r="E18" s="586">
        <v>2612725.4141999995</v>
      </c>
      <c r="F18" s="586">
        <v>1128501.5974000003</v>
      </c>
      <c r="G18" s="586">
        <v>63853.34469409287</v>
      </c>
      <c r="H18" s="586">
        <v>166064.66999999998</v>
      </c>
      <c r="I18" s="588">
        <v>68195340.280405849</v>
      </c>
    </row>
    <row r="19" spans="1:9">
      <c r="A19" s="379">
        <v>13</v>
      </c>
      <c r="B19" s="383" t="s">
        <v>577</v>
      </c>
      <c r="C19" s="586">
        <v>1053113.8214</v>
      </c>
      <c r="D19" s="586">
        <v>14213638.245100003</v>
      </c>
      <c r="E19" s="586">
        <v>597244.62109999999</v>
      </c>
      <c r="F19" s="586">
        <v>247620.9418</v>
      </c>
      <c r="G19" s="586">
        <v>9359.0407333216426</v>
      </c>
      <c r="H19" s="586">
        <v>0</v>
      </c>
      <c r="I19" s="588">
        <v>14412527.462866681</v>
      </c>
    </row>
    <row r="20" spans="1:9">
      <c r="A20" s="379">
        <v>14</v>
      </c>
      <c r="B20" s="383" t="s">
        <v>578</v>
      </c>
      <c r="C20" s="586">
        <v>9946311.3916000016</v>
      </c>
      <c r="D20" s="586">
        <v>78339146.512699991</v>
      </c>
      <c r="E20" s="586">
        <v>4821241.4440999981</v>
      </c>
      <c r="F20" s="586">
        <v>1162398.5034000003</v>
      </c>
      <c r="G20" s="586">
        <v>17771.483580460437</v>
      </c>
      <c r="H20" s="586">
        <v>18412.719999999998</v>
      </c>
      <c r="I20" s="588">
        <v>82284046.473219544</v>
      </c>
    </row>
    <row r="21" spans="1:9">
      <c r="A21" s="379">
        <v>15</v>
      </c>
      <c r="B21" s="383" t="s">
        <v>579</v>
      </c>
      <c r="C21" s="586">
        <v>1197994.5302000002</v>
      </c>
      <c r="D21" s="586">
        <v>30233102.634099994</v>
      </c>
      <c r="E21" s="586">
        <v>1687535.3599999996</v>
      </c>
      <c r="F21" s="586">
        <v>342308.44490000018</v>
      </c>
      <c r="G21" s="586">
        <v>6050.0613340909604</v>
      </c>
      <c r="H21" s="586">
        <v>1395.98</v>
      </c>
      <c r="I21" s="588">
        <v>29395203.298065905</v>
      </c>
    </row>
    <row r="22" spans="1:9">
      <c r="A22" s="379">
        <v>16</v>
      </c>
      <c r="B22" s="383" t="s">
        <v>580</v>
      </c>
      <c r="C22" s="586">
        <v>0</v>
      </c>
      <c r="D22" s="586">
        <v>375515.0861999999</v>
      </c>
      <c r="E22" s="586">
        <v>0</v>
      </c>
      <c r="F22" s="586">
        <v>7414.4694</v>
      </c>
      <c r="G22" s="586">
        <v>2349.8182223517738</v>
      </c>
      <c r="H22" s="586">
        <v>0</v>
      </c>
      <c r="I22" s="588">
        <v>365750.79857764812</v>
      </c>
    </row>
    <row r="23" spans="1:9">
      <c r="A23" s="379">
        <v>17</v>
      </c>
      <c r="B23" s="383" t="s">
        <v>701</v>
      </c>
      <c r="C23" s="586">
        <v>1579569.4445</v>
      </c>
      <c r="D23" s="586">
        <v>3283243.9665999999</v>
      </c>
      <c r="E23" s="586">
        <v>677445.12859999994</v>
      </c>
      <c r="F23" s="586">
        <v>37952.984199999999</v>
      </c>
      <c r="G23" s="586">
        <v>646.32764509849608</v>
      </c>
      <c r="H23" s="586">
        <v>0</v>
      </c>
      <c r="I23" s="588">
        <v>4146768.970654902</v>
      </c>
    </row>
    <row r="24" spans="1:9">
      <c r="A24" s="379">
        <v>18</v>
      </c>
      <c r="B24" s="383" t="s">
        <v>581</v>
      </c>
      <c r="C24" s="586">
        <v>0</v>
      </c>
      <c r="D24" s="586">
        <v>17575449.410800003</v>
      </c>
      <c r="E24" s="586">
        <v>0</v>
      </c>
      <c r="F24" s="586">
        <v>344487.08130000002</v>
      </c>
      <c r="G24" s="586">
        <v>2726.633339239766</v>
      </c>
      <c r="H24" s="586">
        <v>0</v>
      </c>
      <c r="I24" s="588">
        <v>17228235.69616076</v>
      </c>
    </row>
    <row r="25" spans="1:9">
      <c r="A25" s="379">
        <v>19</v>
      </c>
      <c r="B25" s="383" t="s">
        <v>582</v>
      </c>
      <c r="C25" s="586">
        <v>26983.356899999999</v>
      </c>
      <c r="D25" s="586">
        <v>14418893.2577</v>
      </c>
      <c r="E25" s="586">
        <v>25376.294099999999</v>
      </c>
      <c r="F25" s="586">
        <v>125520.83860000002</v>
      </c>
      <c r="G25" s="586">
        <v>489.40212450226187</v>
      </c>
      <c r="H25" s="586">
        <v>0</v>
      </c>
      <c r="I25" s="588">
        <v>14294490.079775497</v>
      </c>
    </row>
    <row r="26" spans="1:9">
      <c r="A26" s="379">
        <v>20</v>
      </c>
      <c r="B26" s="383" t="s">
        <v>700</v>
      </c>
      <c r="C26" s="586">
        <v>330347.30720000004</v>
      </c>
      <c r="D26" s="586">
        <v>33873649.781900011</v>
      </c>
      <c r="E26" s="586">
        <v>321053.62310000003</v>
      </c>
      <c r="F26" s="586">
        <v>634404.25449999946</v>
      </c>
      <c r="G26" s="586">
        <v>54619.621340300575</v>
      </c>
      <c r="H26" s="586">
        <v>231992.55</v>
      </c>
      <c r="I26" s="588">
        <v>33193919.590159714</v>
      </c>
    </row>
    <row r="27" spans="1:9">
      <c r="A27" s="379">
        <v>21</v>
      </c>
      <c r="B27" s="383" t="s">
        <v>583</v>
      </c>
      <c r="C27" s="586">
        <v>74814.600000000006</v>
      </c>
      <c r="D27" s="586">
        <v>4234921.0127000008</v>
      </c>
      <c r="E27" s="586">
        <v>57540.0213</v>
      </c>
      <c r="F27" s="586">
        <v>80025.418099999995</v>
      </c>
      <c r="G27" s="586">
        <v>7974.6267321109162</v>
      </c>
      <c r="H27" s="586">
        <v>0</v>
      </c>
      <c r="I27" s="588">
        <v>4164195.5465678894</v>
      </c>
    </row>
    <row r="28" spans="1:9">
      <c r="A28" s="379">
        <v>22</v>
      </c>
      <c r="B28" s="383" t="s">
        <v>584</v>
      </c>
      <c r="C28" s="586">
        <v>22857.6368</v>
      </c>
      <c r="D28" s="586">
        <v>1206617.6703999999</v>
      </c>
      <c r="E28" s="586">
        <v>83990.498900000006</v>
      </c>
      <c r="F28" s="586">
        <v>10498.536899999999</v>
      </c>
      <c r="G28" s="586">
        <v>3396.8534719004124</v>
      </c>
      <c r="H28" s="586">
        <v>0</v>
      </c>
      <c r="I28" s="588">
        <v>1131589.4179280996</v>
      </c>
    </row>
    <row r="29" spans="1:9">
      <c r="A29" s="379">
        <v>23</v>
      </c>
      <c r="B29" s="383" t="s">
        <v>585</v>
      </c>
      <c r="C29" s="586">
        <v>8165513.4202999994</v>
      </c>
      <c r="D29" s="586">
        <v>79806931.20930019</v>
      </c>
      <c r="E29" s="586">
        <v>3559913.7230999987</v>
      </c>
      <c r="F29" s="586">
        <v>1475866.3817999985</v>
      </c>
      <c r="G29" s="586">
        <v>83071.998007010581</v>
      </c>
      <c r="H29" s="586">
        <v>5000</v>
      </c>
      <c r="I29" s="588">
        <v>82853592.526693195</v>
      </c>
    </row>
    <row r="30" spans="1:9">
      <c r="A30" s="379">
        <v>24</v>
      </c>
      <c r="B30" s="383" t="s">
        <v>699</v>
      </c>
      <c r="C30" s="586">
        <v>4639682.1687000003</v>
      </c>
      <c r="D30" s="586">
        <v>109655756.77959991</v>
      </c>
      <c r="E30" s="586">
        <v>2457715.6170999995</v>
      </c>
      <c r="F30" s="586">
        <v>2046156.4471999994</v>
      </c>
      <c r="G30" s="586">
        <v>8080.1245774077715</v>
      </c>
      <c r="H30" s="586">
        <v>32884.89</v>
      </c>
      <c r="I30" s="588">
        <v>109783486.7594225</v>
      </c>
    </row>
    <row r="31" spans="1:9">
      <c r="A31" s="379">
        <v>25</v>
      </c>
      <c r="B31" s="383" t="s">
        <v>586</v>
      </c>
      <c r="C31" s="586">
        <v>3958650.0861</v>
      </c>
      <c r="D31" s="586">
        <v>43604584.453100003</v>
      </c>
      <c r="E31" s="586">
        <v>1609777.8512999997</v>
      </c>
      <c r="F31" s="586">
        <v>902820.12320000015</v>
      </c>
      <c r="G31" s="586">
        <v>249236.99820928011</v>
      </c>
      <c r="H31" s="586">
        <v>438983.73999999982</v>
      </c>
      <c r="I31" s="588">
        <v>44801399.566490717</v>
      </c>
    </row>
    <row r="32" spans="1:9">
      <c r="A32" s="379">
        <v>26</v>
      </c>
      <c r="B32" s="383" t="s">
        <v>696</v>
      </c>
      <c r="C32" s="586">
        <v>2329346.7240999998</v>
      </c>
      <c r="D32" s="586">
        <v>21366663.464500003</v>
      </c>
      <c r="E32" s="586">
        <v>1192079.4408000004</v>
      </c>
      <c r="F32" s="586">
        <v>387630.93400000018</v>
      </c>
      <c r="G32" s="586">
        <v>147055.7212597921</v>
      </c>
      <c r="H32" s="586">
        <v>0</v>
      </c>
      <c r="I32" s="588">
        <v>21969244.092540212</v>
      </c>
    </row>
    <row r="33" spans="1:9">
      <c r="A33" s="379">
        <v>27</v>
      </c>
      <c r="B33" s="379" t="s">
        <v>587</v>
      </c>
      <c r="C33" s="586">
        <v>29447980.019999996</v>
      </c>
      <c r="D33" s="586">
        <v>86203086.181999967</v>
      </c>
      <c r="E33" s="586">
        <v>24927819.641999993</v>
      </c>
      <c r="F33" s="586">
        <v>0</v>
      </c>
      <c r="G33" s="586">
        <v>0</v>
      </c>
      <c r="H33" s="586">
        <v>0</v>
      </c>
      <c r="I33" s="588">
        <v>90723246.559999973</v>
      </c>
    </row>
    <row r="34" spans="1:9">
      <c r="A34" s="379">
        <v>28</v>
      </c>
      <c r="B34" s="384" t="s">
        <v>109</v>
      </c>
      <c r="C34" s="585">
        <v>84496533.8829</v>
      </c>
      <c r="D34" s="585">
        <v>1380555633.5864</v>
      </c>
      <c r="E34" s="585">
        <v>53475394.294899993</v>
      </c>
      <c r="F34" s="585">
        <v>18049432.116099998</v>
      </c>
      <c r="G34" s="585">
        <v>1299101.9999999974</v>
      </c>
      <c r="H34" s="585">
        <v>1058613.5599999998</v>
      </c>
      <c r="I34" s="588">
        <v>1392228239.0583</v>
      </c>
    </row>
    <row r="36" spans="1:9">
      <c r="B36" s="416"/>
    </row>
    <row r="42" spans="1:9">
      <c r="A42" s="413"/>
      <c r="B42" s="413"/>
    </row>
    <row r="43" spans="1:9">
      <c r="A43" s="413"/>
      <c r="B43" s="41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12" sqref="C12"/>
    </sheetView>
  </sheetViews>
  <sheetFormatPr defaultColWidth="9.140625" defaultRowHeight="12.75"/>
  <cols>
    <col min="1" max="1" width="11.85546875" style="382" bestFit="1" customWidth="1"/>
    <col min="2" max="2" width="108" style="382" bestFit="1" customWidth="1"/>
    <col min="3" max="4" width="35.5703125" style="382" customWidth="1"/>
    <col min="5" max="16384" width="9.140625" style="382"/>
  </cols>
  <sheetData>
    <row r="1" spans="1:4">
      <c r="A1" s="374" t="s">
        <v>30</v>
      </c>
    </row>
    <row r="2" spans="1:4" ht="13.5">
      <c r="A2" s="374" t="s">
        <v>31</v>
      </c>
      <c r="B2" s="407">
        <f>'1. key ratios '!B2</f>
        <v>44742</v>
      </c>
    </row>
    <row r="3" spans="1:4">
      <c r="A3" s="375" t="s">
        <v>588</v>
      </c>
    </row>
    <row r="5" spans="1:4" ht="25.5">
      <c r="A5" s="690" t="s">
        <v>589</v>
      </c>
      <c r="B5" s="690"/>
      <c r="C5" s="404" t="s">
        <v>590</v>
      </c>
      <c r="D5" s="404" t="s">
        <v>591</v>
      </c>
    </row>
    <row r="6" spans="1:4">
      <c r="A6" s="385">
        <v>1</v>
      </c>
      <c r="B6" s="386" t="s">
        <v>592</v>
      </c>
      <c r="C6" s="586">
        <v>49138707.470000327</v>
      </c>
      <c r="D6" s="586">
        <v>100000</v>
      </c>
    </row>
    <row r="7" spans="1:4">
      <c r="A7" s="387">
        <v>2</v>
      </c>
      <c r="B7" s="386" t="s">
        <v>593</v>
      </c>
      <c r="C7" s="585">
        <f>SUM(C8:C11)</f>
        <v>6543525.1549267173</v>
      </c>
      <c r="D7" s="585">
        <f>SUM(D8:D11)</f>
        <v>0</v>
      </c>
    </row>
    <row r="8" spans="1:4">
      <c r="A8" s="387">
        <v>2.1</v>
      </c>
      <c r="B8" s="388" t="s">
        <v>704</v>
      </c>
      <c r="C8" s="586">
        <v>4484683.2331720004</v>
      </c>
      <c r="D8" s="586"/>
    </row>
    <row r="9" spans="1:4">
      <c r="A9" s="387">
        <v>2.2000000000000002</v>
      </c>
      <c r="B9" s="388" t="s">
        <v>702</v>
      </c>
      <c r="C9" s="586">
        <v>2058841.9217547174</v>
      </c>
      <c r="D9" s="586"/>
    </row>
    <row r="10" spans="1:4">
      <c r="A10" s="387">
        <v>2.2999999999999998</v>
      </c>
      <c r="B10" s="388" t="s">
        <v>594</v>
      </c>
      <c r="C10" s="586">
        <v>0</v>
      </c>
      <c r="D10" s="586"/>
    </row>
    <row r="11" spans="1:4">
      <c r="A11" s="387">
        <v>2.4</v>
      </c>
      <c r="B11" s="388" t="s">
        <v>595</v>
      </c>
      <c r="C11" s="586">
        <v>0</v>
      </c>
      <c r="D11" s="586"/>
    </row>
    <row r="12" spans="1:4">
      <c r="A12" s="385">
        <v>3</v>
      </c>
      <c r="B12" s="386" t="s">
        <v>596</v>
      </c>
      <c r="C12" s="585">
        <f>SUM(C13:C18)</f>
        <v>7952580.6249269992</v>
      </c>
      <c r="D12" s="585">
        <f>SUM(D13:D18)</f>
        <v>0</v>
      </c>
    </row>
    <row r="13" spans="1:4">
      <c r="A13" s="387">
        <v>3.1</v>
      </c>
      <c r="B13" s="388" t="s">
        <v>597</v>
      </c>
      <c r="C13" s="586">
        <v>703913.91999999993</v>
      </c>
      <c r="D13" s="586"/>
    </row>
    <row r="14" spans="1:4">
      <c r="A14" s="387">
        <v>3.2</v>
      </c>
      <c r="B14" s="388" t="s">
        <v>598</v>
      </c>
      <c r="C14" s="586">
        <v>1702460.7947299997</v>
      </c>
      <c r="D14" s="586"/>
    </row>
    <row r="15" spans="1:4">
      <c r="A15" s="387">
        <v>3.3</v>
      </c>
      <c r="B15" s="388" t="s">
        <v>693</v>
      </c>
      <c r="C15" s="586">
        <v>2230200.5534730004</v>
      </c>
      <c r="D15" s="586"/>
    </row>
    <row r="16" spans="1:4">
      <c r="A16" s="387">
        <v>3.4</v>
      </c>
      <c r="B16" s="388" t="s">
        <v>703</v>
      </c>
      <c r="C16" s="586">
        <v>1126422.148358</v>
      </c>
      <c r="D16" s="586"/>
    </row>
    <row r="17" spans="1:4">
      <c r="A17" s="387">
        <v>3.5</v>
      </c>
      <c r="B17" s="388" t="s">
        <v>599</v>
      </c>
      <c r="C17" s="586">
        <v>2189583.2083659996</v>
      </c>
      <c r="D17" s="586"/>
    </row>
    <row r="18" spans="1:4">
      <c r="A18" s="387">
        <v>3.6</v>
      </c>
      <c r="B18" s="388" t="s">
        <v>600</v>
      </c>
      <c r="C18" s="586">
        <v>0</v>
      </c>
      <c r="D18" s="586"/>
    </row>
    <row r="19" spans="1:4">
      <c r="A19" s="389">
        <v>4</v>
      </c>
      <c r="B19" s="386" t="s">
        <v>601</v>
      </c>
      <c r="C19" s="585">
        <f>C6+C7-C12</f>
        <v>47729652.000000045</v>
      </c>
      <c r="D19" s="585">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14" sqref="C14"/>
    </sheetView>
  </sheetViews>
  <sheetFormatPr defaultColWidth="9.140625" defaultRowHeight="12.75"/>
  <cols>
    <col min="1" max="1" width="11.85546875" style="382" bestFit="1" customWidth="1"/>
    <col min="2" max="2" width="124.7109375" style="382" customWidth="1"/>
    <col min="3" max="3" width="31.5703125" style="382" customWidth="1"/>
    <col min="4" max="4" width="39.140625" style="382" customWidth="1"/>
    <col min="5" max="16384" width="9.140625" style="382"/>
  </cols>
  <sheetData>
    <row r="1" spans="1:4">
      <c r="A1" s="374" t="s">
        <v>30</v>
      </c>
    </row>
    <row r="2" spans="1:4" ht="13.5">
      <c r="A2" s="374" t="s">
        <v>31</v>
      </c>
      <c r="B2" s="407">
        <f>'1. key ratios '!B2</f>
        <v>44742</v>
      </c>
    </row>
    <row r="3" spans="1:4">
      <c r="A3" s="375" t="s">
        <v>602</v>
      </c>
    </row>
    <row r="4" spans="1:4">
      <c r="A4" s="375"/>
    </row>
    <row r="5" spans="1:4" ht="15" customHeight="1">
      <c r="A5" s="691" t="s">
        <v>705</v>
      </c>
      <c r="B5" s="692"/>
      <c r="C5" s="681" t="s">
        <v>603</v>
      </c>
      <c r="D5" s="695" t="s">
        <v>604</v>
      </c>
    </row>
    <row r="6" spans="1:4">
      <c r="A6" s="693"/>
      <c r="B6" s="694"/>
      <c r="C6" s="684"/>
      <c r="D6" s="695"/>
    </row>
    <row r="7" spans="1:4">
      <c r="A7" s="384">
        <v>1</v>
      </c>
      <c r="B7" s="384" t="s">
        <v>592</v>
      </c>
      <c r="C7" s="585">
        <v>57867352.664560355</v>
      </c>
      <c r="D7" s="427"/>
    </row>
    <row r="8" spans="1:4">
      <c r="A8" s="379">
        <v>2</v>
      </c>
      <c r="B8" s="379" t="s">
        <v>605</v>
      </c>
      <c r="C8" s="586">
        <v>5470409.2193000009</v>
      </c>
      <c r="D8" s="427"/>
    </row>
    <row r="9" spans="1:4">
      <c r="A9" s="379">
        <v>3</v>
      </c>
      <c r="B9" s="390" t="s">
        <v>606</v>
      </c>
      <c r="C9" s="586">
        <v>0</v>
      </c>
      <c r="D9" s="427"/>
    </row>
    <row r="10" spans="1:4">
      <c r="A10" s="379">
        <v>4</v>
      </c>
      <c r="B10" s="379" t="s">
        <v>607</v>
      </c>
      <c r="C10" s="586">
        <f>SUM(C11:C18)</f>
        <v>8355631.6475999998</v>
      </c>
      <c r="D10" s="427"/>
    </row>
    <row r="11" spans="1:4">
      <c r="A11" s="379">
        <v>5</v>
      </c>
      <c r="B11" s="391" t="s">
        <v>608</v>
      </c>
      <c r="C11" s="586">
        <v>1020984.7978000001</v>
      </c>
      <c r="D11" s="427"/>
    </row>
    <row r="12" spans="1:4">
      <c r="A12" s="379">
        <v>6</v>
      </c>
      <c r="B12" s="391" t="s">
        <v>609</v>
      </c>
      <c r="C12" s="586">
        <v>522100.12239999999</v>
      </c>
      <c r="D12" s="427"/>
    </row>
    <row r="13" spans="1:4">
      <c r="A13" s="379">
        <v>7</v>
      </c>
      <c r="B13" s="391" t="s">
        <v>610</v>
      </c>
      <c r="C13" s="586">
        <v>2965053.6206219383</v>
      </c>
      <c r="D13" s="427"/>
    </row>
    <row r="14" spans="1:4">
      <c r="A14" s="379">
        <v>8</v>
      </c>
      <c r="B14" s="391" t="s">
        <v>611</v>
      </c>
      <c r="C14" s="586">
        <v>638049.28980000003</v>
      </c>
      <c r="D14" s="587">
        <v>0</v>
      </c>
    </row>
    <row r="15" spans="1:4">
      <c r="A15" s="379">
        <v>9</v>
      </c>
      <c r="B15" s="391" t="s">
        <v>612</v>
      </c>
      <c r="C15" s="586">
        <v>0</v>
      </c>
      <c r="D15" s="587">
        <v>0</v>
      </c>
    </row>
    <row r="16" spans="1:4">
      <c r="A16" s="379">
        <v>10</v>
      </c>
      <c r="B16" s="391" t="s">
        <v>613</v>
      </c>
      <c r="C16" s="586">
        <v>437108.88999999996</v>
      </c>
      <c r="D16" s="427"/>
    </row>
    <row r="17" spans="1:4">
      <c r="A17" s="379">
        <v>11</v>
      </c>
      <c r="B17" s="391" t="s">
        <v>614</v>
      </c>
      <c r="C17" s="586">
        <v>0</v>
      </c>
      <c r="D17" s="587">
        <v>0</v>
      </c>
    </row>
    <row r="18" spans="1:4">
      <c r="A18" s="379">
        <v>12</v>
      </c>
      <c r="B18" s="388" t="s">
        <v>710</v>
      </c>
      <c r="C18" s="586">
        <v>2772334.9269780619</v>
      </c>
      <c r="D18" s="427"/>
    </row>
    <row r="19" spans="1:4">
      <c r="A19" s="384">
        <v>13</v>
      </c>
      <c r="B19" s="417" t="s">
        <v>601</v>
      </c>
      <c r="C19" s="585">
        <f>C7+C8+C9-C10</f>
        <v>54982130.236260355</v>
      </c>
      <c r="D19" s="428"/>
    </row>
    <row r="22" spans="1:4">
      <c r="B22" s="374"/>
    </row>
    <row r="23" spans="1:4">
      <c r="B23" s="374"/>
    </row>
    <row r="24" spans="1:4">
      <c r="B24" s="37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topLeftCell="B1" workbookViewId="0">
      <selection activeCell="C10" sqref="C10"/>
    </sheetView>
  </sheetViews>
  <sheetFormatPr defaultColWidth="9.140625" defaultRowHeight="12.75"/>
  <cols>
    <col min="1" max="1" width="11.85546875" style="382" bestFit="1" customWidth="1"/>
    <col min="2" max="2" width="80.7109375" style="382" customWidth="1"/>
    <col min="3" max="3" width="15.5703125" style="382" customWidth="1"/>
    <col min="4" max="5" width="22.28515625" style="382" customWidth="1"/>
    <col min="6" max="6" width="23.42578125" style="382" customWidth="1"/>
    <col min="7" max="14" width="22.28515625" style="382" customWidth="1"/>
    <col min="15" max="15" width="23.28515625" style="382" bestFit="1" customWidth="1"/>
    <col min="16" max="16" width="21.7109375" style="382" bestFit="1" customWidth="1"/>
    <col min="17" max="19" width="19" style="382" bestFit="1" customWidth="1"/>
    <col min="20" max="20" width="16.140625" style="382" customWidth="1"/>
    <col min="21" max="21" width="21" style="382" customWidth="1"/>
    <col min="22" max="22" width="20" style="382" customWidth="1"/>
    <col min="23" max="16384" width="9.140625" style="382"/>
  </cols>
  <sheetData>
    <row r="1" spans="1:22">
      <c r="A1" s="374" t="s">
        <v>30</v>
      </c>
    </row>
    <row r="2" spans="1:22" ht="13.5">
      <c r="A2" s="374" t="s">
        <v>31</v>
      </c>
      <c r="B2" s="407">
        <f>'1. key ratios '!B2</f>
        <v>44742</v>
      </c>
      <c r="C2" s="410"/>
    </row>
    <row r="3" spans="1:22">
      <c r="A3" s="375" t="s">
        <v>615</v>
      </c>
    </row>
    <row r="5" spans="1:22" ht="15" customHeight="1">
      <c r="A5" s="681" t="s">
        <v>540</v>
      </c>
      <c r="B5" s="683"/>
      <c r="C5" s="698" t="s">
        <v>616</v>
      </c>
      <c r="D5" s="699"/>
      <c r="E5" s="699"/>
      <c r="F5" s="699"/>
      <c r="G5" s="699"/>
      <c r="H5" s="699"/>
      <c r="I5" s="699"/>
      <c r="J5" s="699"/>
      <c r="K5" s="699"/>
      <c r="L5" s="699"/>
      <c r="M5" s="699"/>
      <c r="N5" s="699"/>
      <c r="O5" s="699"/>
      <c r="P5" s="699"/>
      <c r="Q5" s="699"/>
      <c r="R5" s="699"/>
      <c r="S5" s="699"/>
      <c r="T5" s="699"/>
      <c r="U5" s="700"/>
      <c r="V5" s="418"/>
    </row>
    <row r="6" spans="1:22">
      <c r="A6" s="696"/>
      <c r="B6" s="697"/>
      <c r="C6" s="701" t="s">
        <v>109</v>
      </c>
      <c r="D6" s="703" t="s">
        <v>617</v>
      </c>
      <c r="E6" s="703"/>
      <c r="F6" s="688"/>
      <c r="G6" s="704" t="s">
        <v>618</v>
      </c>
      <c r="H6" s="705"/>
      <c r="I6" s="705"/>
      <c r="J6" s="705"/>
      <c r="K6" s="706"/>
      <c r="L6" s="406"/>
      <c r="M6" s="707" t="s">
        <v>619</v>
      </c>
      <c r="N6" s="707"/>
      <c r="O6" s="688"/>
      <c r="P6" s="688"/>
      <c r="Q6" s="688"/>
      <c r="R6" s="688"/>
      <c r="S6" s="688"/>
      <c r="T6" s="688"/>
      <c r="U6" s="688"/>
      <c r="V6" s="406"/>
    </row>
    <row r="7" spans="1:22" ht="25.5">
      <c r="A7" s="684"/>
      <c r="B7" s="686"/>
      <c r="C7" s="702"/>
      <c r="D7" s="419"/>
      <c r="E7" s="412" t="s">
        <v>620</v>
      </c>
      <c r="F7" s="412" t="s">
        <v>621</v>
      </c>
      <c r="G7" s="410"/>
      <c r="H7" s="412" t="s">
        <v>620</v>
      </c>
      <c r="I7" s="412" t="s">
        <v>622</v>
      </c>
      <c r="J7" s="412" t="s">
        <v>623</v>
      </c>
      <c r="K7" s="412" t="s">
        <v>624</v>
      </c>
      <c r="L7" s="405"/>
      <c r="M7" s="400" t="s">
        <v>625</v>
      </c>
      <c r="N7" s="412" t="s">
        <v>623</v>
      </c>
      <c r="O7" s="412" t="s">
        <v>626</v>
      </c>
      <c r="P7" s="412" t="s">
        <v>627</v>
      </c>
      <c r="Q7" s="412" t="s">
        <v>628</v>
      </c>
      <c r="R7" s="412" t="s">
        <v>629</v>
      </c>
      <c r="S7" s="412" t="s">
        <v>630</v>
      </c>
      <c r="T7" s="420" t="s">
        <v>631</v>
      </c>
      <c r="U7" s="412" t="s">
        <v>632</v>
      </c>
      <c r="V7" s="418"/>
    </row>
    <row r="8" spans="1:22">
      <c r="A8" s="421">
        <v>1</v>
      </c>
      <c r="B8" s="384" t="s">
        <v>633</v>
      </c>
      <c r="C8" s="585">
        <v>1044853951.6152993</v>
      </c>
      <c r="D8" s="586">
        <v>908180614.83670032</v>
      </c>
      <c r="E8" s="586">
        <v>37064357.140000001</v>
      </c>
      <c r="F8" s="586">
        <v>1000000</v>
      </c>
      <c r="G8" s="586">
        <v>81691206.785699964</v>
      </c>
      <c r="H8" s="586">
        <v>12053009.2151</v>
      </c>
      <c r="I8" s="586">
        <v>4257084.8432</v>
      </c>
      <c r="J8" s="586">
        <v>772633.89720000001</v>
      </c>
      <c r="K8" s="586">
        <v>11394.05</v>
      </c>
      <c r="L8" s="586">
        <v>54982129.992900014</v>
      </c>
      <c r="M8" s="586">
        <v>6523402.1118999962</v>
      </c>
      <c r="N8" s="586">
        <v>1643959.3816</v>
      </c>
      <c r="O8" s="586">
        <v>3379145.99</v>
      </c>
      <c r="P8" s="586">
        <v>4819580.7942000013</v>
      </c>
      <c r="Q8" s="586">
        <v>7049867.2548000002</v>
      </c>
      <c r="R8" s="586">
        <v>1439129.7818</v>
      </c>
      <c r="S8" s="586">
        <v>0</v>
      </c>
      <c r="T8" s="586">
        <v>0</v>
      </c>
      <c r="U8" s="586">
        <v>1171754.6060000004</v>
      </c>
    </row>
    <row r="9" spans="1:22">
      <c r="A9" s="379">
        <v>1.1000000000000001</v>
      </c>
      <c r="B9" s="402" t="s">
        <v>634</v>
      </c>
      <c r="C9" s="589"/>
      <c r="D9" s="586"/>
      <c r="E9" s="586"/>
      <c r="F9" s="586"/>
      <c r="G9" s="586"/>
      <c r="H9" s="586"/>
      <c r="I9" s="586"/>
      <c r="J9" s="586"/>
      <c r="K9" s="586"/>
      <c r="L9" s="586"/>
      <c r="M9" s="586"/>
      <c r="N9" s="586"/>
      <c r="O9" s="586"/>
      <c r="P9" s="586"/>
      <c r="Q9" s="586"/>
      <c r="R9" s="586"/>
      <c r="S9" s="586"/>
      <c r="T9" s="586"/>
      <c r="U9" s="586"/>
    </row>
    <row r="10" spans="1:22">
      <c r="A10" s="379">
        <v>1.2</v>
      </c>
      <c r="B10" s="402" t="s">
        <v>635</v>
      </c>
      <c r="C10" s="589"/>
      <c r="D10" s="586"/>
      <c r="E10" s="586"/>
      <c r="F10" s="586"/>
      <c r="G10" s="586"/>
      <c r="H10" s="586"/>
      <c r="I10" s="586"/>
      <c r="J10" s="586"/>
      <c r="K10" s="586"/>
      <c r="L10" s="586"/>
      <c r="M10" s="586"/>
      <c r="N10" s="586"/>
      <c r="O10" s="586"/>
      <c r="P10" s="586"/>
      <c r="Q10" s="586"/>
      <c r="R10" s="586"/>
      <c r="S10" s="586"/>
      <c r="T10" s="586"/>
      <c r="U10" s="586"/>
    </row>
    <row r="11" spans="1:22">
      <c r="A11" s="379">
        <v>1.3</v>
      </c>
      <c r="B11" s="402" t="s">
        <v>636</v>
      </c>
      <c r="C11" s="589"/>
      <c r="D11" s="586"/>
      <c r="E11" s="586"/>
      <c r="F11" s="586"/>
      <c r="G11" s="586"/>
      <c r="H11" s="586"/>
      <c r="I11" s="586"/>
      <c r="J11" s="586"/>
      <c r="K11" s="586"/>
      <c r="L11" s="586"/>
      <c r="M11" s="586"/>
      <c r="N11" s="586"/>
      <c r="O11" s="586"/>
      <c r="P11" s="586"/>
      <c r="Q11" s="586"/>
      <c r="R11" s="586"/>
      <c r="S11" s="586"/>
      <c r="T11" s="586"/>
      <c r="U11" s="586"/>
    </row>
    <row r="12" spans="1:22">
      <c r="A12" s="379">
        <v>1.4</v>
      </c>
      <c r="B12" s="402" t="s">
        <v>637</v>
      </c>
      <c r="C12" s="589">
        <v>48812221.478599995</v>
      </c>
      <c r="D12" s="586">
        <v>48530736.995900005</v>
      </c>
      <c r="E12" s="586">
        <v>0</v>
      </c>
      <c r="F12" s="586">
        <v>0</v>
      </c>
      <c r="G12" s="586">
        <v>57955.315900000001</v>
      </c>
      <c r="H12" s="586">
        <v>57955.315900000001</v>
      </c>
      <c r="I12" s="586">
        <v>0</v>
      </c>
      <c r="J12" s="586">
        <v>0</v>
      </c>
      <c r="K12" s="586">
        <v>0</v>
      </c>
      <c r="L12" s="586">
        <v>223529.16680000001</v>
      </c>
      <c r="M12" s="586">
        <v>0</v>
      </c>
      <c r="N12" s="586">
        <v>0</v>
      </c>
      <c r="O12" s="586">
        <v>0</v>
      </c>
      <c r="P12" s="586">
        <v>0</v>
      </c>
      <c r="Q12" s="586">
        <v>54435.158799999997</v>
      </c>
      <c r="R12" s="586">
        <v>0</v>
      </c>
      <c r="S12" s="586">
        <v>0</v>
      </c>
      <c r="T12" s="586">
        <v>0</v>
      </c>
      <c r="U12" s="586">
        <v>0</v>
      </c>
    </row>
    <row r="13" spans="1:22">
      <c r="A13" s="379">
        <v>1.5</v>
      </c>
      <c r="B13" s="402" t="s">
        <v>638</v>
      </c>
      <c r="C13" s="589">
        <v>468063018.30849999</v>
      </c>
      <c r="D13" s="586">
        <v>415460934.81900001</v>
      </c>
      <c r="E13" s="586">
        <v>25297959.454100005</v>
      </c>
      <c r="F13" s="586">
        <v>1000000</v>
      </c>
      <c r="G13" s="586">
        <v>34444139.340899989</v>
      </c>
      <c r="H13" s="586">
        <v>5221015.8436000003</v>
      </c>
      <c r="I13" s="586">
        <v>2746375.9196000001</v>
      </c>
      <c r="J13" s="586">
        <v>581990.53059999994</v>
      </c>
      <c r="K13" s="586">
        <v>0</v>
      </c>
      <c r="L13" s="586">
        <v>18157944.148599993</v>
      </c>
      <c r="M13" s="586">
        <v>3159705.2490000003</v>
      </c>
      <c r="N13" s="586">
        <v>97476.603700000007</v>
      </c>
      <c r="O13" s="586">
        <v>563367.87580000004</v>
      </c>
      <c r="P13" s="586">
        <v>3229750.5605000001</v>
      </c>
      <c r="Q13" s="586">
        <v>2722857.7086</v>
      </c>
      <c r="R13" s="586">
        <v>593818.19990000001</v>
      </c>
      <c r="S13" s="586">
        <v>0</v>
      </c>
      <c r="T13" s="586">
        <v>0</v>
      </c>
      <c r="U13" s="586">
        <v>118912.17240000001</v>
      </c>
    </row>
    <row r="14" spans="1:22">
      <c r="A14" s="379">
        <v>1.6</v>
      </c>
      <c r="B14" s="402" t="s">
        <v>639</v>
      </c>
      <c r="C14" s="589">
        <v>527978711.82819939</v>
      </c>
      <c r="D14" s="586">
        <v>444188943.02180028</v>
      </c>
      <c r="E14" s="586">
        <v>11766397.685899997</v>
      </c>
      <c r="F14" s="586">
        <v>0</v>
      </c>
      <c r="G14" s="586">
        <v>47189112.128899969</v>
      </c>
      <c r="H14" s="586">
        <v>6774038.0555999996</v>
      </c>
      <c r="I14" s="586">
        <v>1510708.9235999999</v>
      </c>
      <c r="J14" s="586">
        <v>190643.36660000001</v>
      </c>
      <c r="K14" s="586">
        <v>11394.05</v>
      </c>
      <c r="L14" s="586">
        <v>36600656.677500024</v>
      </c>
      <c r="M14" s="586">
        <v>3363696.8628999963</v>
      </c>
      <c r="N14" s="586">
        <v>1546482.7778999999</v>
      </c>
      <c r="O14" s="586">
        <v>2815778.1142000002</v>
      </c>
      <c r="P14" s="586">
        <v>1589830.2337000007</v>
      </c>
      <c r="Q14" s="586">
        <v>4272574.3874000004</v>
      </c>
      <c r="R14" s="586">
        <v>845311.58189999999</v>
      </c>
      <c r="S14" s="586">
        <v>0</v>
      </c>
      <c r="T14" s="586">
        <v>0</v>
      </c>
      <c r="U14" s="586">
        <v>1052842.4336000003</v>
      </c>
    </row>
    <row r="15" spans="1:22">
      <c r="A15" s="421">
        <v>2</v>
      </c>
      <c r="B15" s="384" t="s">
        <v>640</v>
      </c>
      <c r="C15" s="585">
        <v>153215320.19999999</v>
      </c>
      <c r="D15" s="586">
        <v>153215320.19999999</v>
      </c>
      <c r="E15" s="586">
        <v>0</v>
      </c>
      <c r="F15" s="586">
        <v>0</v>
      </c>
      <c r="G15" s="586">
        <v>0</v>
      </c>
      <c r="H15" s="586">
        <v>0</v>
      </c>
      <c r="I15" s="586">
        <v>0</v>
      </c>
      <c r="J15" s="586">
        <v>0</v>
      </c>
      <c r="K15" s="586">
        <v>0</v>
      </c>
      <c r="L15" s="586">
        <v>0</v>
      </c>
      <c r="M15" s="586">
        <v>0</v>
      </c>
      <c r="N15" s="586">
        <v>0</v>
      </c>
      <c r="O15" s="586">
        <v>0</v>
      </c>
      <c r="P15" s="586">
        <v>0</v>
      </c>
      <c r="Q15" s="586">
        <v>0</v>
      </c>
      <c r="R15" s="586">
        <v>0</v>
      </c>
      <c r="S15" s="586">
        <v>0</v>
      </c>
      <c r="T15" s="586">
        <v>0</v>
      </c>
      <c r="U15" s="586">
        <v>0</v>
      </c>
    </row>
    <row r="16" spans="1:22">
      <c r="A16" s="379">
        <v>2.1</v>
      </c>
      <c r="B16" s="402" t="s">
        <v>634</v>
      </c>
      <c r="C16" s="589">
        <v>6529506.5099999998</v>
      </c>
      <c r="D16" s="586">
        <v>6529506.5099999998</v>
      </c>
      <c r="E16" s="586">
        <v>0</v>
      </c>
      <c r="F16" s="586">
        <v>0</v>
      </c>
      <c r="G16" s="586">
        <v>0</v>
      </c>
      <c r="H16" s="586">
        <v>0</v>
      </c>
      <c r="I16" s="586">
        <v>0</v>
      </c>
      <c r="J16" s="586">
        <v>0</v>
      </c>
      <c r="K16" s="586">
        <v>0</v>
      </c>
      <c r="L16" s="586">
        <v>0</v>
      </c>
      <c r="M16" s="586">
        <v>0</v>
      </c>
      <c r="N16" s="586">
        <v>0</v>
      </c>
      <c r="O16" s="586">
        <v>0</v>
      </c>
      <c r="P16" s="586">
        <v>0</v>
      </c>
      <c r="Q16" s="586">
        <v>0</v>
      </c>
      <c r="R16" s="586">
        <v>0</v>
      </c>
      <c r="S16" s="586">
        <v>0</v>
      </c>
      <c r="T16" s="586">
        <v>0</v>
      </c>
      <c r="U16" s="586">
        <v>0</v>
      </c>
    </row>
    <row r="17" spans="1:21">
      <c r="A17" s="379">
        <v>2.2000000000000002</v>
      </c>
      <c r="B17" s="402" t="s">
        <v>635</v>
      </c>
      <c r="C17" s="589">
        <v>77685813.689999983</v>
      </c>
      <c r="D17" s="586">
        <v>77685813.689999983</v>
      </c>
      <c r="E17" s="586">
        <v>0</v>
      </c>
      <c r="F17" s="586">
        <v>0</v>
      </c>
      <c r="G17" s="586">
        <v>0</v>
      </c>
      <c r="H17" s="586">
        <v>0</v>
      </c>
      <c r="I17" s="586">
        <v>0</v>
      </c>
      <c r="J17" s="586">
        <v>0</v>
      </c>
      <c r="K17" s="586">
        <v>0</v>
      </c>
      <c r="L17" s="586">
        <v>0</v>
      </c>
      <c r="M17" s="586">
        <v>0</v>
      </c>
      <c r="N17" s="586">
        <v>0</v>
      </c>
      <c r="O17" s="586">
        <v>0</v>
      </c>
      <c r="P17" s="586">
        <v>0</v>
      </c>
      <c r="Q17" s="586">
        <v>0</v>
      </c>
      <c r="R17" s="586">
        <v>0</v>
      </c>
      <c r="S17" s="586">
        <v>0</v>
      </c>
      <c r="T17" s="586">
        <v>0</v>
      </c>
      <c r="U17" s="586">
        <v>0</v>
      </c>
    </row>
    <row r="18" spans="1:21">
      <c r="A18" s="379">
        <v>2.2999999999999998</v>
      </c>
      <c r="B18" s="402" t="s">
        <v>636</v>
      </c>
      <c r="C18" s="589">
        <v>64000000</v>
      </c>
      <c r="D18" s="586">
        <v>64000000</v>
      </c>
      <c r="E18" s="586">
        <v>0</v>
      </c>
      <c r="F18" s="586">
        <v>0</v>
      </c>
      <c r="G18" s="586">
        <v>0</v>
      </c>
      <c r="H18" s="586">
        <v>0</v>
      </c>
      <c r="I18" s="586">
        <v>0</v>
      </c>
      <c r="J18" s="586">
        <v>0</v>
      </c>
      <c r="K18" s="586">
        <v>0</v>
      </c>
      <c r="L18" s="586">
        <v>0</v>
      </c>
      <c r="M18" s="586">
        <v>0</v>
      </c>
      <c r="N18" s="586">
        <v>0</v>
      </c>
      <c r="O18" s="586">
        <v>0</v>
      </c>
      <c r="P18" s="586">
        <v>0</v>
      </c>
      <c r="Q18" s="586">
        <v>0</v>
      </c>
      <c r="R18" s="586">
        <v>0</v>
      </c>
      <c r="S18" s="586">
        <v>0</v>
      </c>
      <c r="T18" s="586">
        <v>0</v>
      </c>
      <c r="U18" s="586">
        <v>0</v>
      </c>
    </row>
    <row r="19" spans="1:21">
      <c r="A19" s="379">
        <v>2.4</v>
      </c>
      <c r="B19" s="402" t="s">
        <v>637</v>
      </c>
      <c r="C19" s="589">
        <v>5000000</v>
      </c>
      <c r="D19" s="586">
        <v>5000000</v>
      </c>
      <c r="E19" s="586">
        <v>0</v>
      </c>
      <c r="F19" s="586">
        <v>0</v>
      </c>
      <c r="G19" s="586">
        <v>0</v>
      </c>
      <c r="H19" s="586">
        <v>0</v>
      </c>
      <c r="I19" s="586">
        <v>0</v>
      </c>
      <c r="J19" s="586">
        <v>0</v>
      </c>
      <c r="K19" s="586">
        <v>0</v>
      </c>
      <c r="L19" s="586">
        <v>0</v>
      </c>
      <c r="M19" s="586">
        <v>0</v>
      </c>
      <c r="N19" s="586">
        <v>0</v>
      </c>
      <c r="O19" s="586">
        <v>0</v>
      </c>
      <c r="P19" s="586">
        <v>0</v>
      </c>
      <c r="Q19" s="586">
        <v>0</v>
      </c>
      <c r="R19" s="586">
        <v>0</v>
      </c>
      <c r="S19" s="586">
        <v>0</v>
      </c>
      <c r="T19" s="586">
        <v>0</v>
      </c>
      <c r="U19" s="586">
        <v>0</v>
      </c>
    </row>
    <row r="20" spans="1:21">
      <c r="A20" s="379">
        <v>2.5</v>
      </c>
      <c r="B20" s="402" t="s">
        <v>638</v>
      </c>
      <c r="C20" s="589">
        <v>0</v>
      </c>
      <c r="D20" s="586">
        <v>0</v>
      </c>
      <c r="E20" s="586">
        <v>0</v>
      </c>
      <c r="F20" s="586">
        <v>0</v>
      </c>
      <c r="G20" s="586">
        <v>0</v>
      </c>
      <c r="H20" s="586">
        <v>0</v>
      </c>
      <c r="I20" s="586">
        <v>0</v>
      </c>
      <c r="J20" s="586">
        <v>0</v>
      </c>
      <c r="K20" s="586">
        <v>0</v>
      </c>
      <c r="L20" s="586">
        <v>0</v>
      </c>
      <c r="M20" s="586">
        <v>0</v>
      </c>
      <c r="N20" s="586">
        <v>0</v>
      </c>
      <c r="O20" s="586">
        <v>0</v>
      </c>
      <c r="P20" s="586">
        <v>0</v>
      </c>
      <c r="Q20" s="586">
        <v>0</v>
      </c>
      <c r="R20" s="586">
        <v>0</v>
      </c>
      <c r="S20" s="586">
        <v>0</v>
      </c>
      <c r="T20" s="586">
        <v>0</v>
      </c>
      <c r="U20" s="586">
        <v>0</v>
      </c>
    </row>
    <row r="21" spans="1:21">
      <c r="A21" s="379">
        <v>2.6</v>
      </c>
      <c r="B21" s="402" t="s">
        <v>639</v>
      </c>
      <c r="C21" s="589">
        <v>0</v>
      </c>
      <c r="D21" s="586">
        <v>0</v>
      </c>
      <c r="E21" s="586">
        <v>0</v>
      </c>
      <c r="F21" s="586">
        <v>0</v>
      </c>
      <c r="G21" s="586">
        <v>0</v>
      </c>
      <c r="H21" s="586">
        <v>0</v>
      </c>
      <c r="I21" s="586">
        <v>0</v>
      </c>
      <c r="J21" s="586">
        <v>0</v>
      </c>
      <c r="K21" s="586">
        <v>0</v>
      </c>
      <c r="L21" s="586">
        <v>0</v>
      </c>
      <c r="M21" s="586">
        <v>0</v>
      </c>
      <c r="N21" s="586">
        <v>0</v>
      </c>
      <c r="O21" s="586">
        <v>0</v>
      </c>
      <c r="P21" s="586">
        <v>0</v>
      </c>
      <c r="Q21" s="586">
        <v>0</v>
      </c>
      <c r="R21" s="586">
        <v>0</v>
      </c>
      <c r="S21" s="586">
        <v>0</v>
      </c>
      <c r="T21" s="586">
        <v>0</v>
      </c>
      <c r="U21" s="586">
        <v>0</v>
      </c>
    </row>
    <row r="22" spans="1:21">
      <c r="A22" s="421">
        <v>3</v>
      </c>
      <c r="B22" s="384" t="s">
        <v>695</v>
      </c>
      <c r="C22" s="585">
        <v>99964636.655400068</v>
      </c>
      <c r="D22" s="586">
        <v>66884991.635400005</v>
      </c>
      <c r="E22" s="586">
        <v>4358156</v>
      </c>
      <c r="F22" s="590"/>
      <c r="G22" s="586">
        <v>1415394</v>
      </c>
      <c r="H22" s="590"/>
      <c r="I22" s="590"/>
      <c r="J22" s="590"/>
      <c r="K22" s="590"/>
      <c r="L22" s="586">
        <v>0</v>
      </c>
      <c r="M22" s="590"/>
      <c r="N22" s="590"/>
      <c r="O22" s="590"/>
      <c r="P22" s="590"/>
      <c r="Q22" s="590"/>
      <c r="R22" s="590"/>
      <c r="S22" s="590"/>
      <c r="T22" s="590"/>
      <c r="U22" s="586">
        <v>0</v>
      </c>
    </row>
    <row r="23" spans="1:21">
      <c r="A23" s="379">
        <v>3.1</v>
      </c>
      <c r="B23" s="402" t="s">
        <v>634</v>
      </c>
      <c r="C23" s="589">
        <v>0</v>
      </c>
      <c r="D23" s="586">
        <v>0</v>
      </c>
      <c r="E23" s="586">
        <v>0</v>
      </c>
      <c r="F23" s="590"/>
      <c r="G23" s="586">
        <v>0</v>
      </c>
      <c r="H23" s="590"/>
      <c r="I23" s="590"/>
      <c r="J23" s="590"/>
      <c r="K23" s="590"/>
      <c r="L23" s="586">
        <v>0</v>
      </c>
      <c r="M23" s="590"/>
      <c r="N23" s="590"/>
      <c r="O23" s="590"/>
      <c r="P23" s="590"/>
      <c r="Q23" s="590"/>
      <c r="R23" s="590"/>
      <c r="S23" s="590"/>
      <c r="T23" s="590"/>
      <c r="U23" s="586">
        <v>0</v>
      </c>
    </row>
    <row r="24" spans="1:21">
      <c r="A24" s="379">
        <v>3.2</v>
      </c>
      <c r="B24" s="402" t="s">
        <v>635</v>
      </c>
      <c r="C24" s="589">
        <v>0</v>
      </c>
      <c r="D24" s="586">
        <v>0</v>
      </c>
      <c r="E24" s="586">
        <v>0</v>
      </c>
      <c r="F24" s="590"/>
      <c r="G24" s="586">
        <v>0</v>
      </c>
      <c r="H24" s="590"/>
      <c r="I24" s="590"/>
      <c r="J24" s="590"/>
      <c r="K24" s="590"/>
      <c r="L24" s="586">
        <v>0</v>
      </c>
      <c r="M24" s="590"/>
      <c r="N24" s="590"/>
      <c r="O24" s="590"/>
      <c r="P24" s="590"/>
      <c r="Q24" s="590"/>
      <c r="R24" s="590"/>
      <c r="S24" s="590"/>
      <c r="T24" s="590"/>
      <c r="U24" s="586">
        <v>0</v>
      </c>
    </row>
    <row r="25" spans="1:21">
      <c r="A25" s="379">
        <v>3.3</v>
      </c>
      <c r="B25" s="402" t="s">
        <v>636</v>
      </c>
      <c r="C25" s="589">
        <v>0</v>
      </c>
      <c r="D25" s="586">
        <v>0</v>
      </c>
      <c r="E25" s="586">
        <v>0</v>
      </c>
      <c r="F25" s="590"/>
      <c r="G25" s="586">
        <v>0</v>
      </c>
      <c r="H25" s="590"/>
      <c r="I25" s="590"/>
      <c r="J25" s="590"/>
      <c r="K25" s="590"/>
      <c r="L25" s="586">
        <v>0</v>
      </c>
      <c r="M25" s="590"/>
      <c r="N25" s="590"/>
      <c r="O25" s="590"/>
      <c r="P25" s="590"/>
      <c r="Q25" s="590"/>
      <c r="R25" s="590"/>
      <c r="S25" s="590"/>
      <c r="T25" s="590"/>
      <c r="U25" s="586">
        <v>0</v>
      </c>
    </row>
    <row r="26" spans="1:21">
      <c r="A26" s="379">
        <v>3.4</v>
      </c>
      <c r="B26" s="402" t="s">
        <v>637</v>
      </c>
      <c r="C26" s="589">
        <v>2163840.9300000002</v>
      </c>
      <c r="D26" s="586">
        <v>1122118.2</v>
      </c>
      <c r="E26" s="586">
        <v>0</v>
      </c>
      <c r="F26" s="590"/>
      <c r="G26" s="586">
        <v>0</v>
      </c>
      <c r="H26" s="590"/>
      <c r="I26" s="590"/>
      <c r="J26" s="590"/>
      <c r="K26" s="590"/>
      <c r="L26" s="586">
        <v>0</v>
      </c>
      <c r="M26" s="590"/>
      <c r="N26" s="590"/>
      <c r="O26" s="590"/>
      <c r="P26" s="590"/>
      <c r="Q26" s="590"/>
      <c r="R26" s="590"/>
      <c r="S26" s="590"/>
      <c r="T26" s="590"/>
      <c r="U26" s="586">
        <v>0</v>
      </c>
    </row>
    <row r="27" spans="1:21">
      <c r="A27" s="379">
        <v>3.5</v>
      </c>
      <c r="B27" s="402" t="s">
        <v>638</v>
      </c>
      <c r="C27" s="589">
        <v>97800795.72540006</v>
      </c>
      <c r="D27" s="586">
        <v>65762873.435400002</v>
      </c>
      <c r="E27" s="586">
        <v>4358156</v>
      </c>
      <c r="F27" s="590"/>
      <c r="G27" s="586">
        <v>1415394</v>
      </c>
      <c r="H27" s="590"/>
      <c r="I27" s="590"/>
      <c r="J27" s="590"/>
      <c r="K27" s="590"/>
      <c r="L27" s="586">
        <v>0</v>
      </c>
      <c r="M27" s="590"/>
      <c r="N27" s="590"/>
      <c r="O27" s="590"/>
      <c r="P27" s="590"/>
      <c r="Q27" s="590"/>
      <c r="R27" s="590"/>
      <c r="S27" s="590"/>
      <c r="T27" s="590"/>
      <c r="U27" s="586">
        <v>0</v>
      </c>
    </row>
    <row r="28" spans="1:21">
      <c r="A28" s="379">
        <v>3.6</v>
      </c>
      <c r="B28" s="402" t="s">
        <v>639</v>
      </c>
      <c r="C28" s="589">
        <v>0</v>
      </c>
      <c r="D28" s="586">
        <v>0</v>
      </c>
      <c r="E28" s="586">
        <v>0</v>
      </c>
      <c r="F28" s="590"/>
      <c r="G28" s="586">
        <v>0</v>
      </c>
      <c r="H28" s="590"/>
      <c r="I28" s="590"/>
      <c r="J28" s="590"/>
      <c r="K28" s="590"/>
      <c r="L28" s="586">
        <v>0</v>
      </c>
      <c r="M28" s="590"/>
      <c r="N28" s="590"/>
      <c r="O28" s="590"/>
      <c r="P28" s="590"/>
      <c r="Q28" s="590"/>
      <c r="R28" s="590"/>
      <c r="S28" s="590"/>
      <c r="T28" s="590"/>
      <c r="U28" s="586">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C8" sqref="C8:T22"/>
    </sheetView>
  </sheetViews>
  <sheetFormatPr defaultColWidth="9.140625" defaultRowHeight="12.75"/>
  <cols>
    <col min="1" max="1" width="11.85546875" style="382" bestFit="1" customWidth="1"/>
    <col min="2" max="2" width="90.28515625" style="382" bestFit="1" customWidth="1"/>
    <col min="3" max="3" width="19.5703125" style="382" customWidth="1"/>
    <col min="4" max="4" width="21.140625" style="382" customWidth="1"/>
    <col min="5" max="5" width="17.140625" style="382" customWidth="1"/>
    <col min="6" max="6" width="22.28515625" style="382" customWidth="1"/>
    <col min="7" max="7" width="19.28515625" style="382" customWidth="1"/>
    <col min="8" max="8" width="17.140625" style="382" customWidth="1"/>
    <col min="9" max="14" width="22.28515625" style="382" customWidth="1"/>
    <col min="15" max="15" width="23" style="382" customWidth="1"/>
    <col min="16" max="16" width="21.7109375" style="382" bestFit="1" customWidth="1"/>
    <col min="17" max="19" width="19" style="382" bestFit="1" customWidth="1"/>
    <col min="20" max="20" width="14.7109375" style="382" customWidth="1"/>
    <col min="21" max="21" width="20" style="382" customWidth="1"/>
    <col min="22" max="16384" width="9.140625" style="382"/>
  </cols>
  <sheetData>
    <row r="1" spans="1:21">
      <c r="A1" s="374" t="s">
        <v>30</v>
      </c>
    </row>
    <row r="2" spans="1:21" ht="13.5">
      <c r="A2" s="374" t="s">
        <v>31</v>
      </c>
      <c r="B2" s="407">
        <f>'1. key ratios '!B2</f>
        <v>44742</v>
      </c>
      <c r="C2" s="407"/>
    </row>
    <row r="3" spans="1:21">
      <c r="A3" s="375" t="s">
        <v>642</v>
      </c>
    </row>
    <row r="5" spans="1:21" ht="13.5" customHeight="1">
      <c r="A5" s="708" t="s">
        <v>643</v>
      </c>
      <c r="B5" s="709"/>
      <c r="C5" s="717" t="s">
        <v>644</v>
      </c>
      <c r="D5" s="718"/>
      <c r="E5" s="718"/>
      <c r="F5" s="718"/>
      <c r="G5" s="718"/>
      <c r="H5" s="718"/>
      <c r="I5" s="718"/>
      <c r="J5" s="718"/>
      <c r="K5" s="718"/>
      <c r="L5" s="718"/>
      <c r="M5" s="718"/>
      <c r="N5" s="718"/>
      <c r="O5" s="718"/>
      <c r="P5" s="718"/>
      <c r="Q5" s="718"/>
      <c r="R5" s="718"/>
      <c r="S5" s="718"/>
      <c r="T5" s="719"/>
      <c r="U5" s="418"/>
    </row>
    <row r="6" spans="1:21">
      <c r="A6" s="710"/>
      <c r="B6" s="711"/>
      <c r="C6" s="701" t="s">
        <v>109</v>
      </c>
      <c r="D6" s="714" t="s">
        <v>645</v>
      </c>
      <c r="E6" s="714"/>
      <c r="F6" s="715"/>
      <c r="G6" s="716" t="s">
        <v>646</v>
      </c>
      <c r="H6" s="714"/>
      <c r="I6" s="714"/>
      <c r="J6" s="714"/>
      <c r="K6" s="715"/>
      <c r="L6" s="704" t="s">
        <v>647</v>
      </c>
      <c r="M6" s="705"/>
      <c r="N6" s="705"/>
      <c r="O6" s="705"/>
      <c r="P6" s="705"/>
      <c r="Q6" s="705"/>
      <c r="R6" s="705"/>
      <c r="S6" s="705"/>
      <c r="T6" s="706"/>
      <c r="U6" s="406"/>
    </row>
    <row r="7" spans="1:21">
      <c r="A7" s="712"/>
      <c r="B7" s="713"/>
      <c r="C7" s="702"/>
      <c r="E7" s="400" t="s">
        <v>620</v>
      </c>
      <c r="F7" s="412" t="s">
        <v>621</v>
      </c>
      <c r="H7" s="400" t="s">
        <v>620</v>
      </c>
      <c r="I7" s="412" t="s">
        <v>622</v>
      </c>
      <c r="J7" s="412" t="s">
        <v>623</v>
      </c>
      <c r="K7" s="412" t="s">
        <v>624</v>
      </c>
      <c r="L7" s="422"/>
      <c r="M7" s="400" t="s">
        <v>625</v>
      </c>
      <c r="N7" s="412" t="s">
        <v>623</v>
      </c>
      <c r="O7" s="412" t="s">
        <v>626</v>
      </c>
      <c r="P7" s="412" t="s">
        <v>627</v>
      </c>
      <c r="Q7" s="412" t="s">
        <v>628</v>
      </c>
      <c r="R7" s="412" t="s">
        <v>629</v>
      </c>
      <c r="S7" s="412" t="s">
        <v>630</v>
      </c>
      <c r="T7" s="420" t="s">
        <v>631</v>
      </c>
      <c r="U7" s="418"/>
    </row>
    <row r="8" spans="1:21">
      <c r="A8" s="422">
        <v>1</v>
      </c>
      <c r="B8" s="417" t="s">
        <v>633</v>
      </c>
      <c r="C8" s="591">
        <v>1044853951.8300055</v>
      </c>
      <c r="D8" s="586">
        <v>908180614.87000489</v>
      </c>
      <c r="E8" s="586">
        <v>37064357.129999995</v>
      </c>
      <c r="F8" s="586">
        <v>1000000</v>
      </c>
      <c r="G8" s="586">
        <v>81691206.749999985</v>
      </c>
      <c r="H8" s="586">
        <v>12053009.219999997</v>
      </c>
      <c r="I8" s="586">
        <v>4257084.8499999996</v>
      </c>
      <c r="J8" s="586">
        <v>772633.89999999979</v>
      </c>
      <c r="K8" s="586">
        <v>11394.05</v>
      </c>
      <c r="L8" s="586">
        <v>54982130.209999979</v>
      </c>
      <c r="M8" s="586">
        <v>6523168.1400000006</v>
      </c>
      <c r="N8" s="586">
        <v>1643959.3799999997</v>
      </c>
      <c r="O8" s="586">
        <v>3379145.98</v>
      </c>
      <c r="P8" s="586">
        <v>4819580.78</v>
      </c>
      <c r="Q8" s="586">
        <v>7049867.2700000005</v>
      </c>
      <c r="R8" s="586">
        <v>1439129.78</v>
      </c>
      <c r="S8" s="586">
        <v>0</v>
      </c>
      <c r="T8" s="586">
        <v>0</v>
      </c>
    </row>
    <row r="9" spans="1:21">
      <c r="A9" s="402">
        <v>1.1000000000000001</v>
      </c>
      <c r="B9" s="402" t="s">
        <v>648</v>
      </c>
      <c r="C9" s="589">
        <v>263879942.87999979</v>
      </c>
      <c r="D9" s="586">
        <v>224673190.75999999</v>
      </c>
      <c r="E9" s="586">
        <v>6408669.4499999983</v>
      </c>
      <c r="F9" s="586">
        <v>0</v>
      </c>
      <c r="G9" s="586">
        <v>16734752.769999988</v>
      </c>
      <c r="H9" s="586">
        <v>3790097.85</v>
      </c>
      <c r="I9" s="586">
        <v>155934.04999999999</v>
      </c>
      <c r="J9" s="586">
        <v>135835.26</v>
      </c>
      <c r="K9" s="586">
        <v>0</v>
      </c>
      <c r="L9" s="586">
        <v>22471999.349999998</v>
      </c>
      <c r="M9" s="586">
        <v>1421936.7800000003</v>
      </c>
      <c r="N9" s="586">
        <v>1288098.1400000001</v>
      </c>
      <c r="O9" s="586">
        <v>1402977.81</v>
      </c>
      <c r="P9" s="586">
        <v>1451082.7</v>
      </c>
      <c r="Q9" s="586">
        <v>2623476.63</v>
      </c>
      <c r="R9" s="586">
        <v>606199.3899999999</v>
      </c>
      <c r="S9" s="586">
        <v>0</v>
      </c>
      <c r="T9" s="586">
        <v>0</v>
      </c>
    </row>
    <row r="10" spans="1:21">
      <c r="A10" s="423" t="s">
        <v>14</v>
      </c>
      <c r="B10" s="423" t="s">
        <v>649</v>
      </c>
      <c r="C10" s="592">
        <v>891665019.79999828</v>
      </c>
      <c r="D10" s="586">
        <v>759670162.90999973</v>
      </c>
      <c r="E10" s="586">
        <v>35059505.520000003</v>
      </c>
      <c r="F10" s="586">
        <v>1000000</v>
      </c>
      <c r="G10" s="586">
        <v>80087036.060000047</v>
      </c>
      <c r="H10" s="586">
        <v>11806286.589999998</v>
      </c>
      <c r="I10" s="586">
        <v>4044414.3100000005</v>
      </c>
      <c r="J10" s="586">
        <v>752018.64999999979</v>
      </c>
      <c r="K10" s="586">
        <v>11394.05</v>
      </c>
      <c r="L10" s="586">
        <v>51907820.829999991</v>
      </c>
      <c r="M10" s="586">
        <v>6135409.8900000006</v>
      </c>
      <c r="N10" s="586">
        <v>1484706.5099999998</v>
      </c>
      <c r="O10" s="586">
        <v>2904053.6399999997</v>
      </c>
      <c r="P10" s="586">
        <v>3928658.7199999997</v>
      </c>
      <c r="Q10" s="586">
        <v>6936491.7800000003</v>
      </c>
      <c r="R10" s="586">
        <v>1404511.32</v>
      </c>
      <c r="S10" s="586">
        <v>0</v>
      </c>
      <c r="T10" s="586">
        <v>0</v>
      </c>
    </row>
    <row r="11" spans="1:21">
      <c r="A11" s="392" t="s">
        <v>650</v>
      </c>
      <c r="B11" s="392" t="s">
        <v>651</v>
      </c>
      <c r="C11" s="593">
        <v>510056644.39999962</v>
      </c>
      <c r="D11" s="586">
        <v>429343638.35000068</v>
      </c>
      <c r="E11" s="586">
        <v>16189530.200000001</v>
      </c>
      <c r="F11" s="586">
        <v>1000000</v>
      </c>
      <c r="G11" s="586">
        <v>50600423.920000061</v>
      </c>
      <c r="H11" s="586">
        <v>8539531.8699999992</v>
      </c>
      <c r="I11" s="586">
        <v>925921.1</v>
      </c>
      <c r="J11" s="586">
        <v>752018.64999999979</v>
      </c>
      <c r="K11" s="586">
        <v>0</v>
      </c>
      <c r="L11" s="586">
        <v>30112582.129999999</v>
      </c>
      <c r="M11" s="586">
        <v>4358828.17</v>
      </c>
      <c r="N11" s="586">
        <v>386958.48</v>
      </c>
      <c r="O11" s="586">
        <v>2148359.1800000002</v>
      </c>
      <c r="P11" s="586">
        <v>1207252.21</v>
      </c>
      <c r="Q11" s="586">
        <v>1340699.6299999999</v>
      </c>
      <c r="R11" s="586">
        <v>1043158.8699999999</v>
      </c>
      <c r="S11" s="586">
        <v>0</v>
      </c>
      <c r="T11" s="586">
        <v>0</v>
      </c>
    </row>
    <row r="12" spans="1:21">
      <c r="A12" s="392" t="s">
        <v>652</v>
      </c>
      <c r="B12" s="392" t="s">
        <v>653</v>
      </c>
      <c r="C12" s="593">
        <v>214411519.20000002</v>
      </c>
      <c r="D12" s="586">
        <v>181791810.87999994</v>
      </c>
      <c r="E12" s="586">
        <v>8311070.6299999999</v>
      </c>
      <c r="F12" s="586">
        <v>0</v>
      </c>
      <c r="G12" s="586">
        <v>22769004.249999993</v>
      </c>
      <c r="H12" s="586">
        <v>2462527.69</v>
      </c>
      <c r="I12" s="586">
        <v>3118493.2099999995</v>
      </c>
      <c r="J12" s="586">
        <v>0</v>
      </c>
      <c r="K12" s="586">
        <v>0</v>
      </c>
      <c r="L12" s="586">
        <v>9850704.0700000003</v>
      </c>
      <c r="M12" s="586">
        <v>1073047.6299999999</v>
      </c>
      <c r="N12" s="586">
        <v>0</v>
      </c>
      <c r="O12" s="586">
        <v>647569.28999999992</v>
      </c>
      <c r="P12" s="586">
        <v>1846967.0899999999</v>
      </c>
      <c r="Q12" s="586">
        <v>2367663.06</v>
      </c>
      <c r="R12" s="586">
        <v>361352.45</v>
      </c>
      <c r="S12" s="586">
        <v>0</v>
      </c>
      <c r="T12" s="586">
        <v>0</v>
      </c>
    </row>
    <row r="13" spans="1:21">
      <c r="A13" s="392" t="s">
        <v>654</v>
      </c>
      <c r="B13" s="392" t="s">
        <v>655</v>
      </c>
      <c r="C13" s="593">
        <v>66859082.389999978</v>
      </c>
      <c r="D13" s="586">
        <v>56515576.350000016</v>
      </c>
      <c r="E13" s="586">
        <v>3375206.1000000006</v>
      </c>
      <c r="F13" s="586">
        <v>0</v>
      </c>
      <c r="G13" s="586">
        <v>1948291.52</v>
      </c>
      <c r="H13" s="586">
        <v>660142.84</v>
      </c>
      <c r="I13" s="586">
        <v>0</v>
      </c>
      <c r="J13" s="586">
        <v>0</v>
      </c>
      <c r="K13" s="586">
        <v>0</v>
      </c>
      <c r="L13" s="586">
        <v>8395214.5200000014</v>
      </c>
      <c r="M13" s="586">
        <v>644826.80000000005</v>
      </c>
      <c r="N13" s="586">
        <v>1083041.31</v>
      </c>
      <c r="O13" s="586">
        <v>80793.98</v>
      </c>
      <c r="P13" s="586">
        <v>757590.56</v>
      </c>
      <c r="Q13" s="586">
        <v>1984881.9300000002</v>
      </c>
      <c r="R13" s="586">
        <v>0</v>
      </c>
      <c r="S13" s="586">
        <v>0</v>
      </c>
      <c r="T13" s="586">
        <v>0</v>
      </c>
    </row>
    <row r="14" spans="1:21">
      <c r="A14" s="392" t="s">
        <v>656</v>
      </c>
      <c r="B14" s="392" t="s">
        <v>657</v>
      </c>
      <c r="C14" s="593">
        <v>100337773.81000003</v>
      </c>
      <c r="D14" s="586">
        <v>92019137.330000028</v>
      </c>
      <c r="E14" s="586">
        <v>7183698.5899999989</v>
      </c>
      <c r="F14" s="586">
        <v>0</v>
      </c>
      <c r="G14" s="586">
        <v>4769316.37</v>
      </c>
      <c r="H14" s="586">
        <v>144084.19</v>
      </c>
      <c r="I14" s="586">
        <v>0</v>
      </c>
      <c r="J14" s="586">
        <v>0</v>
      </c>
      <c r="K14" s="586">
        <v>11394.05</v>
      </c>
      <c r="L14" s="586">
        <v>3549320.1100000003</v>
      </c>
      <c r="M14" s="586">
        <v>58707.29</v>
      </c>
      <c r="N14" s="586">
        <v>14706.72</v>
      </c>
      <c r="O14" s="586">
        <v>27331.190000000002</v>
      </c>
      <c r="P14" s="586">
        <v>116848.86000000002</v>
      </c>
      <c r="Q14" s="586">
        <v>1243247.1599999999</v>
      </c>
      <c r="R14" s="586">
        <v>0</v>
      </c>
      <c r="S14" s="586">
        <v>0</v>
      </c>
      <c r="T14" s="586">
        <v>0</v>
      </c>
    </row>
    <row r="15" spans="1:21">
      <c r="A15" s="393">
        <v>1.2</v>
      </c>
      <c r="B15" s="393" t="s">
        <v>658</v>
      </c>
      <c r="C15" s="594">
        <v>13858260.919999985</v>
      </c>
      <c r="D15" s="586">
        <v>4491745.1200000085</v>
      </c>
      <c r="E15" s="586">
        <v>128173.40999999999</v>
      </c>
      <c r="F15" s="586">
        <v>0</v>
      </c>
      <c r="G15" s="586">
        <v>1673475.3000000003</v>
      </c>
      <c r="H15" s="586">
        <v>379009.80000000005</v>
      </c>
      <c r="I15" s="586">
        <v>15593.41</v>
      </c>
      <c r="J15" s="586">
        <v>13583.51</v>
      </c>
      <c r="K15" s="586">
        <v>0</v>
      </c>
      <c r="L15" s="586">
        <v>7693040.4999999991</v>
      </c>
      <c r="M15" s="586">
        <v>456237.26999999996</v>
      </c>
      <c r="N15" s="586">
        <v>413896.76</v>
      </c>
      <c r="O15" s="586">
        <v>474293.5</v>
      </c>
      <c r="P15" s="586">
        <v>459197.99000000005</v>
      </c>
      <c r="Q15" s="586">
        <v>1311738.3500000001</v>
      </c>
      <c r="R15" s="586">
        <v>303099.74</v>
      </c>
      <c r="S15" s="586">
        <v>0</v>
      </c>
      <c r="T15" s="586">
        <v>0</v>
      </c>
    </row>
    <row r="16" spans="1:21">
      <c r="A16" s="402">
        <v>1.3</v>
      </c>
      <c r="B16" s="393" t="s">
        <v>706</v>
      </c>
      <c r="C16" s="595"/>
      <c r="D16" s="595"/>
      <c r="E16" s="595"/>
      <c r="F16" s="595"/>
      <c r="G16" s="595"/>
      <c r="H16" s="595"/>
      <c r="I16" s="595"/>
      <c r="J16" s="595"/>
      <c r="K16" s="595"/>
      <c r="L16" s="595"/>
      <c r="M16" s="595"/>
      <c r="N16" s="595"/>
      <c r="O16" s="595"/>
      <c r="P16" s="595"/>
      <c r="Q16" s="595"/>
      <c r="R16" s="595"/>
      <c r="S16" s="595"/>
      <c r="T16" s="595"/>
    </row>
    <row r="17" spans="1:20">
      <c r="A17" s="396" t="s">
        <v>659</v>
      </c>
      <c r="B17" s="394" t="s">
        <v>660</v>
      </c>
      <c r="C17" s="596">
        <v>970862557.27000189</v>
      </c>
      <c r="D17" s="587">
        <v>838075797.15000069</v>
      </c>
      <c r="E17" s="587">
        <v>35991571.240000002</v>
      </c>
      <c r="F17" s="587">
        <v>1000000</v>
      </c>
      <c r="G17" s="587">
        <v>80256000.010000005</v>
      </c>
      <c r="H17" s="587">
        <v>11855211.380000001</v>
      </c>
      <c r="I17" s="587">
        <v>4130984.3000000003</v>
      </c>
      <c r="J17" s="587">
        <v>772633.89999999979</v>
      </c>
      <c r="K17" s="587">
        <v>11394.05</v>
      </c>
      <c r="L17" s="587">
        <v>52530760.109999999</v>
      </c>
      <c r="M17" s="587">
        <v>6333440.9200000009</v>
      </c>
      <c r="N17" s="587">
        <v>1505564.6999999997</v>
      </c>
      <c r="O17" s="587">
        <v>2976135.3899999997</v>
      </c>
      <c r="P17" s="587">
        <v>3983740.74</v>
      </c>
      <c r="Q17" s="587">
        <v>7024358.7800000003</v>
      </c>
      <c r="R17" s="587">
        <v>1439129.78</v>
      </c>
      <c r="S17" s="587">
        <v>0</v>
      </c>
      <c r="T17" s="587">
        <v>0</v>
      </c>
    </row>
    <row r="18" spans="1:20">
      <c r="A18" s="395" t="s">
        <v>661</v>
      </c>
      <c r="B18" s="395" t="s">
        <v>662</v>
      </c>
      <c r="C18" s="597">
        <v>849245821.84999931</v>
      </c>
      <c r="D18" s="587">
        <v>719337059.23999906</v>
      </c>
      <c r="E18" s="587">
        <v>32735201.490000002</v>
      </c>
      <c r="F18" s="587">
        <v>1000000</v>
      </c>
      <c r="G18" s="587">
        <v>79018337.180000082</v>
      </c>
      <c r="H18" s="587">
        <v>11582167.140000002</v>
      </c>
      <c r="I18" s="587">
        <v>4044414.3100000005</v>
      </c>
      <c r="J18" s="587">
        <v>752018.64999999979</v>
      </c>
      <c r="K18" s="587">
        <v>4785.93</v>
      </c>
      <c r="L18" s="587">
        <v>50890425.429999985</v>
      </c>
      <c r="M18" s="587">
        <v>6126130.6200000001</v>
      </c>
      <c r="N18" s="587">
        <v>1475564.6999999997</v>
      </c>
      <c r="O18" s="587">
        <v>2903511.8699999996</v>
      </c>
      <c r="P18" s="587">
        <v>3918041.3200000003</v>
      </c>
      <c r="Q18" s="587">
        <v>6513336.6200000001</v>
      </c>
      <c r="R18" s="587">
        <v>1404511.32</v>
      </c>
      <c r="S18" s="587">
        <v>0</v>
      </c>
      <c r="T18" s="587">
        <v>0</v>
      </c>
    </row>
    <row r="19" spans="1:20">
      <c r="A19" s="396" t="s">
        <v>663</v>
      </c>
      <c r="B19" s="396" t="s">
        <v>664</v>
      </c>
      <c r="C19" s="598">
        <v>942912185.28999949</v>
      </c>
      <c r="D19" s="587">
        <v>813394923.15999877</v>
      </c>
      <c r="E19" s="587">
        <v>23844059.200000014</v>
      </c>
      <c r="F19" s="587">
        <v>965643.24</v>
      </c>
      <c r="G19" s="587">
        <v>77396681.130000055</v>
      </c>
      <c r="H19" s="587">
        <v>13186532.560000001</v>
      </c>
      <c r="I19" s="587">
        <v>2261654.38</v>
      </c>
      <c r="J19" s="587">
        <v>708783.63000000012</v>
      </c>
      <c r="K19" s="587">
        <v>2249.4300000000003</v>
      </c>
      <c r="L19" s="587">
        <v>52120581</v>
      </c>
      <c r="M19" s="587">
        <v>7827729.7400000002</v>
      </c>
      <c r="N19" s="587">
        <v>599618.54</v>
      </c>
      <c r="O19" s="587">
        <v>4474365.9799999995</v>
      </c>
      <c r="P19" s="587">
        <v>4464489.9799999986</v>
      </c>
      <c r="Q19" s="587">
        <v>4200167.21</v>
      </c>
      <c r="R19" s="587">
        <v>1201137.9100000001</v>
      </c>
      <c r="S19" s="587">
        <v>0</v>
      </c>
      <c r="T19" s="587">
        <v>0</v>
      </c>
    </row>
    <row r="20" spans="1:20">
      <c r="A20" s="395" t="s">
        <v>665</v>
      </c>
      <c r="B20" s="395" t="s">
        <v>662</v>
      </c>
      <c r="C20" s="597">
        <v>845807961.62000144</v>
      </c>
      <c r="D20" s="587">
        <v>722056183.40999961</v>
      </c>
      <c r="E20" s="587">
        <v>20436542.520000011</v>
      </c>
      <c r="F20" s="587">
        <v>885628.8899999999</v>
      </c>
      <c r="G20" s="587">
        <v>74732965.309999987</v>
      </c>
      <c r="H20" s="587">
        <v>13039053.979999999</v>
      </c>
      <c r="I20" s="587">
        <v>2136003.4800000004</v>
      </c>
      <c r="J20" s="587">
        <v>698708.88</v>
      </c>
      <c r="K20" s="587">
        <v>0</v>
      </c>
      <c r="L20" s="587">
        <v>49018812.900000021</v>
      </c>
      <c r="M20" s="587">
        <v>7336342.2299999995</v>
      </c>
      <c r="N20" s="587">
        <v>591542.84000000008</v>
      </c>
      <c r="O20" s="587">
        <v>4331589.5499999989</v>
      </c>
      <c r="P20" s="587">
        <v>4084117.93</v>
      </c>
      <c r="Q20" s="587">
        <v>3482719.85</v>
      </c>
      <c r="R20" s="587">
        <v>964539.23</v>
      </c>
      <c r="S20" s="587">
        <v>0</v>
      </c>
      <c r="T20" s="587">
        <v>0</v>
      </c>
    </row>
    <row r="21" spans="1:20">
      <c r="A21" s="397">
        <v>1.4</v>
      </c>
      <c r="B21" s="398" t="s">
        <v>666</v>
      </c>
      <c r="C21" s="599">
        <v>17131396.340000004</v>
      </c>
      <c r="D21" s="587">
        <v>17073798.110000003</v>
      </c>
      <c r="E21" s="587">
        <v>1179635.54</v>
      </c>
      <c r="F21" s="587">
        <v>0</v>
      </c>
      <c r="G21" s="587">
        <v>38576.020000000004</v>
      </c>
      <c r="H21" s="587">
        <v>12688.21</v>
      </c>
      <c r="I21" s="587">
        <v>0</v>
      </c>
      <c r="J21" s="587">
        <v>0</v>
      </c>
      <c r="K21" s="587">
        <v>0</v>
      </c>
      <c r="L21" s="587">
        <v>19022.21</v>
      </c>
      <c r="M21" s="587">
        <v>0</v>
      </c>
      <c r="N21" s="587">
        <v>0</v>
      </c>
      <c r="O21" s="587">
        <v>0</v>
      </c>
      <c r="P21" s="587">
        <v>0</v>
      </c>
      <c r="Q21" s="587">
        <v>0</v>
      </c>
      <c r="R21" s="587">
        <v>0</v>
      </c>
      <c r="S21" s="587">
        <v>0</v>
      </c>
      <c r="T21" s="587">
        <v>0</v>
      </c>
    </row>
    <row r="22" spans="1:20">
      <c r="A22" s="397">
        <v>1.5</v>
      </c>
      <c r="B22" s="398" t="s">
        <v>667</v>
      </c>
      <c r="C22" s="599">
        <v>0</v>
      </c>
      <c r="D22" s="587">
        <v>0</v>
      </c>
      <c r="E22" s="587">
        <v>0</v>
      </c>
      <c r="F22" s="587">
        <v>0</v>
      </c>
      <c r="G22" s="587">
        <v>0</v>
      </c>
      <c r="H22" s="587">
        <v>0</v>
      </c>
      <c r="I22" s="587">
        <v>0</v>
      </c>
      <c r="J22" s="587">
        <v>0</v>
      </c>
      <c r="K22" s="587">
        <v>0</v>
      </c>
      <c r="L22" s="587">
        <v>0</v>
      </c>
      <c r="M22" s="587">
        <v>0</v>
      </c>
      <c r="N22" s="587">
        <v>0</v>
      </c>
      <c r="O22" s="587">
        <v>0</v>
      </c>
      <c r="P22" s="587">
        <v>0</v>
      </c>
      <c r="Q22" s="587">
        <v>0</v>
      </c>
      <c r="R22" s="587">
        <v>0</v>
      </c>
      <c r="S22" s="587">
        <v>0</v>
      </c>
      <c r="T22" s="587">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A18" zoomScale="85" zoomScaleNormal="85" workbookViewId="0">
      <selection activeCell="C25" sqref="C25"/>
    </sheetView>
  </sheetViews>
  <sheetFormatPr defaultColWidth="9.140625" defaultRowHeight="12.75"/>
  <cols>
    <col min="1" max="1" width="11.85546875" style="382" bestFit="1" customWidth="1"/>
    <col min="2" max="2" width="93.42578125" style="382" customWidth="1"/>
    <col min="3" max="3" width="15.7109375" style="382" bestFit="1" customWidth="1"/>
    <col min="4" max="4" width="14.5703125" style="382" bestFit="1" customWidth="1"/>
    <col min="5" max="5" width="12.85546875" style="382" bestFit="1" customWidth="1"/>
    <col min="6" max="6" width="13.7109375" style="418" bestFit="1" customWidth="1"/>
    <col min="7" max="7" width="13.28515625" style="418" bestFit="1" customWidth="1"/>
    <col min="8" max="8" width="11.7109375" style="382" bestFit="1" customWidth="1"/>
    <col min="9" max="9" width="13.7109375" style="382" bestFit="1" customWidth="1"/>
    <col min="10" max="10" width="13.28515625" style="418" bestFit="1" customWidth="1"/>
    <col min="11" max="11" width="12.140625" style="418" bestFit="1" customWidth="1"/>
    <col min="12" max="12" width="13.28515625" style="418" bestFit="1" customWidth="1"/>
    <col min="13" max="13" width="12.42578125" style="418" bestFit="1" customWidth="1"/>
    <col min="14" max="14" width="11.7109375" style="418" bestFit="1" customWidth="1"/>
    <col min="15" max="15" width="15.5703125" style="382" bestFit="1" customWidth="1"/>
    <col min="16" max="16384" width="9.140625" style="382"/>
  </cols>
  <sheetData>
    <row r="1" spans="1:15">
      <c r="A1" s="374" t="s">
        <v>30</v>
      </c>
      <c r="F1" s="382"/>
      <c r="G1" s="382"/>
      <c r="J1" s="382"/>
      <c r="K1" s="382"/>
      <c r="L1" s="382"/>
      <c r="M1" s="382"/>
      <c r="N1" s="382"/>
    </row>
    <row r="2" spans="1:15" ht="13.5">
      <c r="A2" s="374" t="s">
        <v>31</v>
      </c>
      <c r="B2" s="407">
        <f>'1. key ratios '!B2</f>
        <v>44742</v>
      </c>
      <c r="F2" s="382"/>
      <c r="G2" s="382"/>
      <c r="J2" s="382"/>
      <c r="K2" s="382"/>
      <c r="L2" s="382"/>
      <c r="M2" s="382"/>
      <c r="N2" s="382"/>
    </row>
    <row r="3" spans="1:15">
      <c r="A3" s="375" t="s">
        <v>668</v>
      </c>
      <c r="F3" s="382"/>
      <c r="G3" s="382"/>
      <c r="J3" s="382"/>
      <c r="K3" s="382"/>
      <c r="L3" s="382"/>
      <c r="M3" s="382"/>
      <c r="N3" s="382"/>
    </row>
    <row r="4" spans="1:15">
      <c r="F4" s="382"/>
      <c r="G4" s="382"/>
      <c r="J4" s="382"/>
      <c r="K4" s="382"/>
      <c r="L4" s="382"/>
      <c r="M4" s="382"/>
      <c r="N4" s="382"/>
    </row>
    <row r="5" spans="1:15" ht="46.5" customHeight="1">
      <c r="A5" s="675" t="s">
        <v>694</v>
      </c>
      <c r="B5" s="676"/>
      <c r="C5" s="720" t="s">
        <v>669</v>
      </c>
      <c r="D5" s="721"/>
      <c r="E5" s="721"/>
      <c r="F5" s="721"/>
      <c r="G5" s="721"/>
      <c r="H5" s="722"/>
      <c r="I5" s="720" t="s">
        <v>670</v>
      </c>
      <c r="J5" s="723"/>
      <c r="K5" s="723"/>
      <c r="L5" s="723"/>
      <c r="M5" s="723"/>
      <c r="N5" s="724"/>
      <c r="O5" s="725" t="s">
        <v>671</v>
      </c>
    </row>
    <row r="6" spans="1:15" ht="75" customHeight="1">
      <c r="A6" s="679"/>
      <c r="B6" s="680"/>
      <c r="C6" s="399"/>
      <c r="D6" s="400" t="s">
        <v>672</v>
      </c>
      <c r="E6" s="400" t="s">
        <v>673</v>
      </c>
      <c r="F6" s="400" t="s">
        <v>674</v>
      </c>
      <c r="G6" s="400" t="s">
        <v>675</v>
      </c>
      <c r="H6" s="400" t="s">
        <v>676</v>
      </c>
      <c r="I6" s="405"/>
      <c r="J6" s="400" t="s">
        <v>672</v>
      </c>
      <c r="K6" s="400" t="s">
        <v>673</v>
      </c>
      <c r="L6" s="400" t="s">
        <v>674</v>
      </c>
      <c r="M6" s="400" t="s">
        <v>675</v>
      </c>
      <c r="N6" s="400" t="s">
        <v>676</v>
      </c>
      <c r="O6" s="726"/>
    </row>
    <row r="7" spans="1:15" ht="15">
      <c r="A7" s="379">
        <v>1</v>
      </c>
      <c r="B7" s="383" t="s">
        <v>697</v>
      </c>
      <c r="C7" s="600">
        <v>69569289.421499997</v>
      </c>
      <c r="D7" s="601">
        <v>64304488.268100001</v>
      </c>
      <c r="E7" s="601">
        <v>3257434.5159999998</v>
      </c>
      <c r="F7" s="601">
        <v>1104590.1621000001</v>
      </c>
      <c r="G7" s="601">
        <v>565547.24490000005</v>
      </c>
      <c r="H7" s="601">
        <v>337229.2304</v>
      </c>
      <c r="I7" s="602">
        <v>2562802.9150999999</v>
      </c>
      <c r="J7" s="601">
        <v>1285679.4224999999</v>
      </c>
      <c r="K7" s="601">
        <v>325743.5025</v>
      </c>
      <c r="L7" s="601">
        <v>331377.03330000001</v>
      </c>
      <c r="M7" s="601">
        <v>282773.72639999999</v>
      </c>
      <c r="N7" s="601">
        <v>337229.2304</v>
      </c>
      <c r="O7" s="601">
        <v>427966.485107432</v>
      </c>
    </row>
    <row r="8" spans="1:15">
      <c r="A8" s="379">
        <v>2</v>
      </c>
      <c r="B8" s="383" t="s">
        <v>567</v>
      </c>
      <c r="C8" s="603">
        <v>33402283.919699997</v>
      </c>
      <c r="D8" s="586">
        <v>32198126.632300001</v>
      </c>
      <c r="E8" s="586">
        <v>848973.27679999999</v>
      </c>
      <c r="F8" s="604">
        <v>191189.39799999999</v>
      </c>
      <c r="G8" s="604">
        <v>150596.79879999999</v>
      </c>
      <c r="H8" s="586">
        <v>13397.8138</v>
      </c>
      <c r="I8" s="586">
        <v>874688.96379999991</v>
      </c>
      <c r="J8" s="604">
        <v>643738.52259999991</v>
      </c>
      <c r="K8" s="604">
        <v>84897.386800000007</v>
      </c>
      <c r="L8" s="604">
        <v>57356.816500000001</v>
      </c>
      <c r="M8" s="604">
        <v>75298.424100000004</v>
      </c>
      <c r="N8" s="604">
        <v>13397.8138</v>
      </c>
      <c r="O8" s="586">
        <v>88454.820302483771</v>
      </c>
    </row>
    <row r="9" spans="1:15">
      <c r="A9" s="379">
        <v>3</v>
      </c>
      <c r="B9" s="383" t="s">
        <v>568</v>
      </c>
      <c r="C9" s="603">
        <v>30445453.531800002</v>
      </c>
      <c r="D9" s="586">
        <v>30387498.2159</v>
      </c>
      <c r="E9" s="586">
        <v>57955.315900000001</v>
      </c>
      <c r="F9" s="605">
        <v>0</v>
      </c>
      <c r="G9" s="605">
        <v>0</v>
      </c>
      <c r="H9" s="586">
        <v>0</v>
      </c>
      <c r="I9" s="586">
        <v>613545.51699999999</v>
      </c>
      <c r="J9" s="605">
        <v>607749.98540000001</v>
      </c>
      <c r="K9" s="605">
        <v>5795.5316000000003</v>
      </c>
      <c r="L9" s="605">
        <v>0</v>
      </c>
      <c r="M9" s="605">
        <v>0</v>
      </c>
      <c r="N9" s="605">
        <v>0</v>
      </c>
      <c r="O9" s="586">
        <v>104.84188037407679</v>
      </c>
    </row>
    <row r="10" spans="1:15">
      <c r="A10" s="379">
        <v>4</v>
      </c>
      <c r="B10" s="383" t="s">
        <v>698</v>
      </c>
      <c r="C10" s="603">
        <v>85879951.856299996</v>
      </c>
      <c r="D10" s="586">
        <v>80060941.782399997</v>
      </c>
      <c r="E10" s="586">
        <v>4828927.8722999999</v>
      </c>
      <c r="F10" s="605">
        <v>981497.05220000003</v>
      </c>
      <c r="G10" s="605">
        <v>0</v>
      </c>
      <c r="H10" s="586">
        <v>8585.1494000000002</v>
      </c>
      <c r="I10" s="586">
        <v>2387145.9224</v>
      </c>
      <c r="J10" s="605">
        <v>1601218.8604000001</v>
      </c>
      <c r="K10" s="605">
        <v>482892.79399999999</v>
      </c>
      <c r="L10" s="605">
        <v>294449.11859999999</v>
      </c>
      <c r="M10" s="605">
        <v>0</v>
      </c>
      <c r="N10" s="605">
        <v>8585.1494000000002</v>
      </c>
      <c r="O10" s="586">
        <v>35123.389330060032</v>
      </c>
    </row>
    <row r="11" spans="1:15">
      <c r="A11" s="379">
        <v>5</v>
      </c>
      <c r="B11" s="383" t="s">
        <v>569</v>
      </c>
      <c r="C11" s="603">
        <v>91548822.216399997</v>
      </c>
      <c r="D11" s="586">
        <v>74444375.030699998</v>
      </c>
      <c r="E11" s="586">
        <v>10821491.5735</v>
      </c>
      <c r="F11" s="605">
        <v>4564471.9091999996</v>
      </c>
      <c r="G11" s="605">
        <v>1718483.703</v>
      </c>
      <c r="H11" s="586">
        <v>0</v>
      </c>
      <c r="I11" s="586">
        <v>4799620.0356999999</v>
      </c>
      <c r="J11" s="605">
        <v>1488887.3859999999</v>
      </c>
      <c r="K11" s="605">
        <v>1082149.1941</v>
      </c>
      <c r="L11" s="605">
        <v>1369341.6040999999</v>
      </c>
      <c r="M11" s="605">
        <v>859241.85149999999</v>
      </c>
      <c r="N11" s="605">
        <v>0</v>
      </c>
      <c r="O11" s="586">
        <v>38985.383288285972</v>
      </c>
    </row>
    <row r="12" spans="1:15">
      <c r="A12" s="379">
        <v>6</v>
      </c>
      <c r="B12" s="383" t="s">
        <v>570</v>
      </c>
      <c r="C12" s="603">
        <v>31768593.272100005</v>
      </c>
      <c r="D12" s="586">
        <v>28503199.138600003</v>
      </c>
      <c r="E12" s="586">
        <v>1264852.5978000001</v>
      </c>
      <c r="F12" s="605">
        <v>1623841.28</v>
      </c>
      <c r="G12" s="605">
        <v>339874.50569999998</v>
      </c>
      <c r="H12" s="586">
        <v>36825.75</v>
      </c>
      <c r="I12" s="586">
        <v>1390464.7441999998</v>
      </c>
      <c r="J12" s="605">
        <v>570064.04810000001</v>
      </c>
      <c r="K12" s="605">
        <v>126485.27360000001</v>
      </c>
      <c r="L12" s="605">
        <v>487152.39</v>
      </c>
      <c r="M12" s="605">
        <v>169937.2825</v>
      </c>
      <c r="N12" s="605">
        <v>36825.75</v>
      </c>
      <c r="O12" s="586">
        <v>47907.378597225797</v>
      </c>
    </row>
    <row r="13" spans="1:15">
      <c r="A13" s="379">
        <v>7</v>
      </c>
      <c r="B13" s="383" t="s">
        <v>571</v>
      </c>
      <c r="C13" s="603">
        <v>57587980.482299998</v>
      </c>
      <c r="D13" s="586">
        <v>55632474.997699998</v>
      </c>
      <c r="E13" s="586">
        <v>623768.09979999997</v>
      </c>
      <c r="F13" s="605">
        <v>1287440.0248</v>
      </c>
      <c r="G13" s="605">
        <v>44297.36</v>
      </c>
      <c r="H13" s="586">
        <v>0</v>
      </c>
      <c r="I13" s="586">
        <v>1583407.0569999998</v>
      </c>
      <c r="J13" s="605">
        <v>1112649.5710999998</v>
      </c>
      <c r="K13" s="605">
        <v>62376.803199999995</v>
      </c>
      <c r="L13" s="605">
        <v>386231.9927</v>
      </c>
      <c r="M13" s="605">
        <v>22148.69</v>
      </c>
      <c r="N13" s="605">
        <v>0</v>
      </c>
      <c r="O13" s="586">
        <v>1494.2291466124248</v>
      </c>
    </row>
    <row r="14" spans="1:15">
      <c r="A14" s="379">
        <v>8</v>
      </c>
      <c r="B14" s="383" t="s">
        <v>572</v>
      </c>
      <c r="C14" s="603">
        <v>46130692.947899997</v>
      </c>
      <c r="D14" s="586">
        <v>42659372.969300002</v>
      </c>
      <c r="E14" s="586">
        <v>1677532.5703000003</v>
      </c>
      <c r="F14" s="605">
        <v>1493599.7882999999</v>
      </c>
      <c r="G14" s="605">
        <v>297386.3</v>
      </c>
      <c r="H14" s="586">
        <v>2801.32</v>
      </c>
      <c r="I14" s="586">
        <v>1620515.0965</v>
      </c>
      <c r="J14" s="605">
        <v>853187.42340000009</v>
      </c>
      <c r="K14" s="605">
        <v>167753.25379999998</v>
      </c>
      <c r="L14" s="605">
        <v>448079.92930000002</v>
      </c>
      <c r="M14" s="605">
        <v>148693.17000000001</v>
      </c>
      <c r="N14" s="605">
        <v>2801.32</v>
      </c>
      <c r="O14" s="586">
        <v>1664.5944370768311</v>
      </c>
    </row>
    <row r="15" spans="1:15">
      <c r="A15" s="379">
        <v>9</v>
      </c>
      <c r="B15" s="383" t="s">
        <v>573</v>
      </c>
      <c r="C15" s="603">
        <v>28401752.961999997</v>
      </c>
      <c r="D15" s="586">
        <v>27059210.058499999</v>
      </c>
      <c r="E15" s="586">
        <v>1290737.7735000001</v>
      </c>
      <c r="F15" s="605">
        <v>11805.13</v>
      </c>
      <c r="G15" s="605">
        <v>40000</v>
      </c>
      <c r="H15" s="586">
        <v>0</v>
      </c>
      <c r="I15" s="586">
        <v>693799.54500000004</v>
      </c>
      <c r="J15" s="605">
        <v>541184.22479999997</v>
      </c>
      <c r="K15" s="605">
        <v>129073.78020000001</v>
      </c>
      <c r="L15" s="605">
        <v>3541.54</v>
      </c>
      <c r="M15" s="605">
        <v>20000</v>
      </c>
      <c r="N15" s="605">
        <v>0</v>
      </c>
      <c r="O15" s="586">
        <v>399.93558273215837</v>
      </c>
    </row>
    <row r="16" spans="1:15">
      <c r="A16" s="379">
        <v>10</v>
      </c>
      <c r="B16" s="383" t="s">
        <v>574</v>
      </c>
      <c r="C16" s="603">
        <v>12885911.193599997</v>
      </c>
      <c r="D16" s="586">
        <v>9925234.6271999981</v>
      </c>
      <c r="E16" s="586">
        <v>2203086.0036999998</v>
      </c>
      <c r="F16" s="605">
        <v>757590.56270000001</v>
      </c>
      <c r="G16" s="605">
        <v>0</v>
      </c>
      <c r="H16" s="586">
        <v>0</v>
      </c>
      <c r="I16" s="586">
        <v>646090.49949999992</v>
      </c>
      <c r="J16" s="605">
        <v>198504.73609999998</v>
      </c>
      <c r="K16" s="605">
        <v>220308.60040000002</v>
      </c>
      <c r="L16" s="605">
        <v>227277.163</v>
      </c>
      <c r="M16" s="605">
        <v>0</v>
      </c>
      <c r="N16" s="605">
        <v>0</v>
      </c>
      <c r="O16" s="586">
        <v>87.9979891277425</v>
      </c>
    </row>
    <row r="17" spans="1:15">
      <c r="A17" s="379">
        <v>11</v>
      </c>
      <c r="B17" s="383" t="s">
        <v>575</v>
      </c>
      <c r="C17" s="603">
        <v>7490341.6263999995</v>
      </c>
      <c r="D17" s="586">
        <v>5648046.1939999992</v>
      </c>
      <c r="E17" s="586">
        <v>953143.47970000003</v>
      </c>
      <c r="F17" s="605">
        <v>157973.68300000002</v>
      </c>
      <c r="G17" s="605">
        <v>731178.26969999995</v>
      </c>
      <c r="H17" s="586">
        <v>0</v>
      </c>
      <c r="I17" s="586">
        <v>621256.60840000003</v>
      </c>
      <c r="J17" s="605">
        <v>112960.97899999999</v>
      </c>
      <c r="K17" s="605">
        <v>95314.395400000009</v>
      </c>
      <c r="L17" s="605">
        <v>47392.099099999999</v>
      </c>
      <c r="M17" s="605">
        <v>365589.1349</v>
      </c>
      <c r="N17" s="605">
        <v>0</v>
      </c>
      <c r="O17" s="586">
        <v>230.88906762607417</v>
      </c>
    </row>
    <row r="18" spans="1:15">
      <c r="A18" s="379">
        <v>12</v>
      </c>
      <c r="B18" s="383" t="s">
        <v>576</v>
      </c>
      <c r="C18" s="603">
        <v>71529066.271200001</v>
      </c>
      <c r="D18" s="586">
        <v>60743878.108500004</v>
      </c>
      <c r="E18" s="586">
        <v>5588445.0936000003</v>
      </c>
      <c r="F18" s="605">
        <v>3236387.9523000005</v>
      </c>
      <c r="G18" s="605">
        <v>1754781.6379999998</v>
      </c>
      <c r="H18" s="586">
        <v>205573.47880000001</v>
      </c>
      <c r="I18" s="586">
        <v>3741227.0116000003</v>
      </c>
      <c r="J18" s="605">
        <v>1128501.5974000001</v>
      </c>
      <c r="K18" s="605">
        <v>558844.59069999994</v>
      </c>
      <c r="L18" s="605">
        <v>970916.39639999985</v>
      </c>
      <c r="M18" s="605">
        <v>877390.94830000005</v>
      </c>
      <c r="N18" s="605">
        <v>205573.47880000001</v>
      </c>
      <c r="O18" s="586">
        <v>63853.34469409287</v>
      </c>
    </row>
    <row r="19" spans="1:15">
      <c r="A19" s="379">
        <v>13</v>
      </c>
      <c r="B19" s="383" t="s">
        <v>577</v>
      </c>
      <c r="C19" s="603">
        <v>15171369.632800002</v>
      </c>
      <c r="D19" s="586">
        <v>12381044.6339</v>
      </c>
      <c r="E19" s="586">
        <v>1737211.1774999998</v>
      </c>
      <c r="F19" s="605">
        <v>549796.924</v>
      </c>
      <c r="G19" s="605">
        <v>489465.07740000001</v>
      </c>
      <c r="H19" s="586">
        <v>13851.82</v>
      </c>
      <c r="I19" s="586">
        <v>844865.5628999999</v>
      </c>
      <c r="J19" s="605">
        <v>247620.9418</v>
      </c>
      <c r="K19" s="605">
        <v>173721.1537</v>
      </c>
      <c r="L19" s="605">
        <v>164939.084</v>
      </c>
      <c r="M19" s="605">
        <v>244732.56340000001</v>
      </c>
      <c r="N19" s="605">
        <v>13851.82</v>
      </c>
      <c r="O19" s="586">
        <v>9359.0407333216426</v>
      </c>
    </row>
    <row r="20" spans="1:15">
      <c r="A20" s="379">
        <v>14</v>
      </c>
      <c r="B20" s="383" t="s">
        <v>578</v>
      </c>
      <c r="C20" s="603">
        <v>86319760.85180001</v>
      </c>
      <c r="D20" s="586">
        <v>59704848.99530001</v>
      </c>
      <c r="E20" s="586">
        <v>16668600.4649</v>
      </c>
      <c r="F20" s="605">
        <v>9144540.3597999997</v>
      </c>
      <c r="G20" s="605">
        <v>781503.94180000003</v>
      </c>
      <c r="H20" s="586">
        <v>20267.09</v>
      </c>
      <c r="I20" s="586">
        <v>5983639.9475000007</v>
      </c>
      <c r="J20" s="605">
        <v>1162398.5033999998</v>
      </c>
      <c r="K20" s="605">
        <v>1666860.1906000001</v>
      </c>
      <c r="L20" s="605">
        <v>2743362.1780000003</v>
      </c>
      <c r="M20" s="605">
        <v>390751.98550000001</v>
      </c>
      <c r="N20" s="605">
        <v>20267.09</v>
      </c>
      <c r="O20" s="586">
        <v>17771.483580460437</v>
      </c>
    </row>
    <row r="21" spans="1:15">
      <c r="A21" s="379">
        <v>15</v>
      </c>
      <c r="B21" s="383" t="s">
        <v>579</v>
      </c>
      <c r="C21" s="603">
        <v>31304146.907400001</v>
      </c>
      <c r="D21" s="586">
        <v>17115422.343499999</v>
      </c>
      <c r="E21" s="586">
        <v>12990730.033699999</v>
      </c>
      <c r="F21" s="605">
        <v>1109526.0802000002</v>
      </c>
      <c r="G21" s="605">
        <v>65728.02</v>
      </c>
      <c r="H21" s="586">
        <v>22740.43</v>
      </c>
      <c r="I21" s="586">
        <v>2029843.8049000001</v>
      </c>
      <c r="J21" s="605">
        <v>342308.4449</v>
      </c>
      <c r="K21" s="605">
        <v>1299073.0587000002</v>
      </c>
      <c r="L21" s="605">
        <v>332857.86129999999</v>
      </c>
      <c r="M21" s="605">
        <v>32864.01</v>
      </c>
      <c r="N21" s="605">
        <v>22740.43</v>
      </c>
      <c r="O21" s="586">
        <v>6050.0613340909604</v>
      </c>
    </row>
    <row r="22" spans="1:15">
      <c r="A22" s="379">
        <v>16</v>
      </c>
      <c r="B22" s="383" t="s">
        <v>580</v>
      </c>
      <c r="C22" s="603">
        <v>370725.14060000004</v>
      </c>
      <c r="D22" s="586">
        <v>370725.14060000004</v>
      </c>
      <c r="E22" s="586">
        <v>0</v>
      </c>
      <c r="F22" s="605">
        <v>0</v>
      </c>
      <c r="G22" s="605">
        <v>0</v>
      </c>
      <c r="H22" s="586">
        <v>0</v>
      </c>
      <c r="I22" s="586">
        <v>7414.4694</v>
      </c>
      <c r="J22" s="605">
        <v>7414.4694</v>
      </c>
      <c r="K22" s="605">
        <v>0</v>
      </c>
      <c r="L22" s="605">
        <v>0</v>
      </c>
      <c r="M22" s="605">
        <v>0</v>
      </c>
      <c r="N22" s="605">
        <v>0</v>
      </c>
      <c r="O22" s="586">
        <v>2349.8182223517738</v>
      </c>
    </row>
    <row r="23" spans="1:15">
      <c r="A23" s="379">
        <v>17</v>
      </c>
      <c r="B23" s="383" t="s">
        <v>701</v>
      </c>
      <c r="C23" s="603">
        <v>4851641.4647000004</v>
      </c>
      <c r="D23" s="586">
        <v>1897647.2583999999</v>
      </c>
      <c r="E23" s="586">
        <v>1374424.7618</v>
      </c>
      <c r="F23" s="605">
        <v>1248910.3744999999</v>
      </c>
      <c r="G23" s="605">
        <v>330659.07</v>
      </c>
      <c r="H23" s="586">
        <v>0</v>
      </c>
      <c r="I23" s="586">
        <v>715398.1128</v>
      </c>
      <c r="J23" s="605">
        <v>37952.984199999999</v>
      </c>
      <c r="K23" s="605">
        <v>137442.47039999999</v>
      </c>
      <c r="L23" s="605">
        <v>374673.11820000003</v>
      </c>
      <c r="M23" s="605">
        <v>165329.54</v>
      </c>
      <c r="N23" s="605">
        <v>0</v>
      </c>
      <c r="O23" s="586">
        <v>646.32764509849608</v>
      </c>
    </row>
    <row r="24" spans="1:15">
      <c r="A24" s="379">
        <v>18</v>
      </c>
      <c r="B24" s="383" t="s">
        <v>581</v>
      </c>
      <c r="C24" s="603">
        <v>17224352.157700002</v>
      </c>
      <c r="D24" s="586">
        <v>17224352.157700002</v>
      </c>
      <c r="E24" s="586">
        <v>0</v>
      </c>
      <c r="F24" s="605">
        <v>0</v>
      </c>
      <c r="G24" s="605">
        <v>0</v>
      </c>
      <c r="H24" s="586">
        <v>0</v>
      </c>
      <c r="I24" s="586">
        <v>344487.08129999996</v>
      </c>
      <c r="J24" s="605">
        <v>344487.08129999996</v>
      </c>
      <c r="K24" s="605">
        <v>0</v>
      </c>
      <c r="L24" s="605">
        <v>0</v>
      </c>
      <c r="M24" s="605">
        <v>0</v>
      </c>
      <c r="N24" s="605">
        <v>0</v>
      </c>
      <c r="O24" s="586">
        <v>2726.633339239766</v>
      </c>
    </row>
    <row r="25" spans="1:15">
      <c r="A25" s="379">
        <v>19</v>
      </c>
      <c r="B25" s="383" t="s">
        <v>582</v>
      </c>
      <c r="C25" s="603">
        <v>14393721.7498</v>
      </c>
      <c r="D25" s="586">
        <v>14276043.302900001</v>
      </c>
      <c r="E25" s="586">
        <v>90695.09</v>
      </c>
      <c r="F25" s="605">
        <v>5826.9880000000003</v>
      </c>
      <c r="G25" s="605">
        <v>13195.338900000001</v>
      </c>
      <c r="H25" s="586">
        <v>7961.03</v>
      </c>
      <c r="I25" s="586">
        <v>310897.13270000007</v>
      </c>
      <c r="J25" s="605">
        <v>285520.83860000002</v>
      </c>
      <c r="K25" s="605">
        <v>9069.51</v>
      </c>
      <c r="L25" s="605">
        <v>1748.0847000000001</v>
      </c>
      <c r="M25" s="605">
        <v>6597.6693999999998</v>
      </c>
      <c r="N25" s="605">
        <v>7961.03</v>
      </c>
      <c r="O25" s="586">
        <v>489.40212450226187</v>
      </c>
    </row>
    <row r="26" spans="1:15">
      <c r="A26" s="379">
        <v>20</v>
      </c>
      <c r="B26" s="383" t="s">
        <v>700</v>
      </c>
      <c r="C26" s="603">
        <v>33932393.536499992</v>
      </c>
      <c r="D26" s="586">
        <v>31720212.3684</v>
      </c>
      <c r="E26" s="586">
        <v>1881833.8608999997</v>
      </c>
      <c r="F26" s="605">
        <v>239506.44</v>
      </c>
      <c r="G26" s="605">
        <v>59645.23</v>
      </c>
      <c r="H26" s="586">
        <v>31195.637200000001</v>
      </c>
      <c r="I26" s="586">
        <v>955457.87760000001</v>
      </c>
      <c r="J26" s="605">
        <v>634404.25450000004</v>
      </c>
      <c r="K26" s="605">
        <v>188183.4209</v>
      </c>
      <c r="L26" s="605">
        <v>71851.94</v>
      </c>
      <c r="M26" s="605">
        <v>29822.625</v>
      </c>
      <c r="N26" s="605">
        <v>31195.637200000001</v>
      </c>
      <c r="O26" s="586">
        <v>54619.621340300575</v>
      </c>
    </row>
    <row r="27" spans="1:15">
      <c r="A27" s="379">
        <v>21</v>
      </c>
      <c r="B27" s="383" t="s">
        <v>583</v>
      </c>
      <c r="C27" s="603">
        <v>4281607.6562000001</v>
      </c>
      <c r="D27" s="586">
        <v>4001269.9013</v>
      </c>
      <c r="E27" s="586">
        <v>205523.15490000002</v>
      </c>
      <c r="F27" s="605">
        <v>2306.77</v>
      </c>
      <c r="G27" s="605">
        <v>72424.34</v>
      </c>
      <c r="H27" s="586">
        <v>83.49</v>
      </c>
      <c r="I27" s="586">
        <v>137565.43939999997</v>
      </c>
      <c r="J27" s="605">
        <v>80025.418099999995</v>
      </c>
      <c r="K27" s="605">
        <v>20552.3213</v>
      </c>
      <c r="L27" s="605">
        <v>692.03</v>
      </c>
      <c r="M27" s="605">
        <v>36212.18</v>
      </c>
      <c r="N27" s="605">
        <v>83.49</v>
      </c>
      <c r="O27" s="586">
        <v>7974.6267321109162</v>
      </c>
    </row>
    <row r="28" spans="1:15">
      <c r="A28" s="379">
        <v>22</v>
      </c>
      <c r="B28" s="383" t="s">
        <v>584</v>
      </c>
      <c r="C28" s="603">
        <v>1216807.9586999998</v>
      </c>
      <c r="D28" s="586">
        <v>524926.13020000001</v>
      </c>
      <c r="E28" s="586">
        <v>669024.19169999997</v>
      </c>
      <c r="F28" s="605">
        <v>8242.2468000000008</v>
      </c>
      <c r="G28" s="605">
        <v>0</v>
      </c>
      <c r="H28" s="586">
        <v>14615.39</v>
      </c>
      <c r="I28" s="586">
        <v>94489.035800000012</v>
      </c>
      <c r="J28" s="605">
        <v>10498.536900000001</v>
      </c>
      <c r="K28" s="605">
        <v>66902.443700000003</v>
      </c>
      <c r="L28" s="605">
        <v>2472.6651999999999</v>
      </c>
      <c r="M28" s="605">
        <v>0</v>
      </c>
      <c r="N28" s="605">
        <v>14615.39</v>
      </c>
      <c r="O28" s="586">
        <v>3396.8534719004124</v>
      </c>
    </row>
    <row r="29" spans="1:15">
      <c r="A29" s="379">
        <v>23</v>
      </c>
      <c r="B29" s="383" t="s">
        <v>585</v>
      </c>
      <c r="C29" s="603">
        <v>87406615.907099992</v>
      </c>
      <c r="D29" s="586">
        <v>73793303.356900007</v>
      </c>
      <c r="E29" s="586">
        <v>5447799.1299000001</v>
      </c>
      <c r="F29" s="605">
        <v>5493818.3561999993</v>
      </c>
      <c r="G29" s="605">
        <v>2609413.8220000002</v>
      </c>
      <c r="H29" s="586">
        <v>62281.242100000003</v>
      </c>
      <c r="I29" s="586">
        <v>5035780.1049000006</v>
      </c>
      <c r="J29" s="605">
        <v>1475866.3817999999</v>
      </c>
      <c r="K29" s="605">
        <v>544779.96730000002</v>
      </c>
      <c r="L29" s="605">
        <v>1648145.5283000001</v>
      </c>
      <c r="M29" s="605">
        <v>1304706.9854000001</v>
      </c>
      <c r="N29" s="605">
        <v>62281.242100000003</v>
      </c>
      <c r="O29" s="586">
        <v>83071.998007010581</v>
      </c>
    </row>
    <row r="30" spans="1:15">
      <c r="A30" s="379">
        <v>24</v>
      </c>
      <c r="B30" s="383" t="s">
        <v>699</v>
      </c>
      <c r="C30" s="603">
        <v>111338176.01190001</v>
      </c>
      <c r="D30" s="586">
        <v>102466795.56290001</v>
      </c>
      <c r="E30" s="586">
        <v>4231698.2802999998</v>
      </c>
      <c r="F30" s="605">
        <v>1574944.8791999999</v>
      </c>
      <c r="G30" s="605">
        <v>3005350.0094999997</v>
      </c>
      <c r="H30" s="586">
        <v>59387.28</v>
      </c>
      <c r="I30" s="586">
        <v>4503872.0642999997</v>
      </c>
      <c r="J30" s="605">
        <v>2046156.4471999998</v>
      </c>
      <c r="K30" s="605">
        <v>423169.81040000002</v>
      </c>
      <c r="L30" s="605">
        <v>472483.46159999998</v>
      </c>
      <c r="M30" s="605">
        <v>1502675.0650999998</v>
      </c>
      <c r="N30" s="605">
        <v>59387.28</v>
      </c>
      <c r="O30" s="586">
        <v>8080.1245774077715</v>
      </c>
    </row>
    <row r="31" spans="1:15">
      <c r="A31" s="379">
        <v>25</v>
      </c>
      <c r="B31" s="383" t="s">
        <v>586</v>
      </c>
      <c r="C31" s="603">
        <v>47086582.773599997</v>
      </c>
      <c r="D31" s="586">
        <v>41734113.037500001</v>
      </c>
      <c r="E31" s="586">
        <v>1393819.6500000001</v>
      </c>
      <c r="F31" s="605">
        <v>3093831.0816000002</v>
      </c>
      <c r="G31" s="605">
        <v>645145.09450000001</v>
      </c>
      <c r="H31" s="586">
        <v>219673.91</v>
      </c>
      <c r="I31" s="586">
        <v>2352597.9745000005</v>
      </c>
      <c r="J31" s="605">
        <v>742820.12320000003</v>
      </c>
      <c r="K31" s="605">
        <v>139381.99</v>
      </c>
      <c r="L31" s="605">
        <v>928149.3541</v>
      </c>
      <c r="M31" s="605">
        <v>322572.59720000002</v>
      </c>
      <c r="N31" s="605">
        <v>219673.91</v>
      </c>
      <c r="O31" s="586">
        <v>249236.99820928011</v>
      </c>
    </row>
    <row r="32" spans="1:15">
      <c r="A32" s="379">
        <v>26</v>
      </c>
      <c r="B32" s="383" t="s">
        <v>696</v>
      </c>
      <c r="C32" s="603">
        <v>23315910.159499973</v>
      </c>
      <c r="D32" s="586">
        <v>19403064.618199974</v>
      </c>
      <c r="E32" s="586">
        <v>1583498.8171999985</v>
      </c>
      <c r="F32" s="605">
        <v>942931.13260000013</v>
      </c>
      <c r="G32" s="605">
        <v>1271131.0471999997</v>
      </c>
      <c r="H32" s="586">
        <v>115284.54429999995</v>
      </c>
      <c r="I32" s="586">
        <v>1579710.7748000009</v>
      </c>
      <c r="J32" s="605">
        <v>387631.33400000073</v>
      </c>
      <c r="K32" s="605">
        <v>158349.92600000009</v>
      </c>
      <c r="L32" s="605">
        <v>282879.36760000023</v>
      </c>
      <c r="M32" s="605">
        <v>635565.60289999994</v>
      </c>
      <c r="N32" s="605">
        <v>115284.54429999995</v>
      </c>
      <c r="O32" s="586">
        <v>147055.7212597921</v>
      </c>
    </row>
    <row r="33" spans="1:15">
      <c r="A33" s="379">
        <v>27</v>
      </c>
      <c r="B33" s="401" t="s">
        <v>109</v>
      </c>
      <c r="C33" s="606">
        <v>1044853951.6094999</v>
      </c>
      <c r="D33" s="585">
        <v>908180614.83089972</v>
      </c>
      <c r="E33" s="585">
        <v>81691206.785700008</v>
      </c>
      <c r="F33" s="607">
        <v>38824568.575500011</v>
      </c>
      <c r="G33" s="607">
        <v>14985806.8114</v>
      </c>
      <c r="H33" s="585">
        <v>1171754.6059999999</v>
      </c>
      <c r="I33" s="608">
        <v>46430583.299000002</v>
      </c>
      <c r="J33" s="607">
        <v>17949432.516099997</v>
      </c>
      <c r="K33" s="607">
        <v>8169121.3692999994</v>
      </c>
      <c r="L33" s="607">
        <v>11647370.755999999</v>
      </c>
      <c r="M33" s="607">
        <v>7492904.051599999</v>
      </c>
      <c r="N33" s="607">
        <v>1171754.6059999999</v>
      </c>
      <c r="O33" s="585">
        <v>1299101.9999999974</v>
      </c>
    </row>
    <row r="35" spans="1:15">
      <c r="B35" s="416"/>
      <c r="C35" s="416"/>
    </row>
    <row r="41" spans="1:15">
      <c r="A41" s="413"/>
      <c r="B41" s="413"/>
      <c r="C41" s="413"/>
    </row>
    <row r="42" spans="1:15">
      <c r="A42" s="413"/>
      <c r="B42" s="413"/>
      <c r="C42" s="41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G15" sqref="G15"/>
    </sheetView>
  </sheetViews>
  <sheetFormatPr defaultColWidth="8.7109375" defaultRowHeight="12"/>
  <cols>
    <col min="1" max="1" width="11.85546875" style="424" bestFit="1" customWidth="1"/>
    <col min="2" max="2" width="80.140625" style="424" customWidth="1"/>
    <col min="3" max="3" width="17.140625" style="424" bestFit="1" customWidth="1"/>
    <col min="4" max="4" width="22.42578125" style="424" bestFit="1" customWidth="1"/>
    <col min="5" max="5" width="22.28515625" style="424" bestFit="1" customWidth="1"/>
    <col min="6" max="6" width="20.140625" style="424" bestFit="1" customWidth="1"/>
    <col min="7" max="7" width="20.85546875" style="424" bestFit="1" customWidth="1"/>
    <col min="8" max="8" width="23.42578125" style="424" bestFit="1" customWidth="1"/>
    <col min="9" max="9" width="22.140625" style="424" customWidth="1"/>
    <col min="10" max="10" width="19.140625" style="424" bestFit="1" customWidth="1"/>
    <col min="11" max="11" width="17.85546875" style="424" bestFit="1" customWidth="1"/>
    <col min="12" max="16384" width="8.7109375" style="424"/>
  </cols>
  <sheetData>
    <row r="1" spans="1:11" s="382" customFormat="1" ht="12.75">
      <c r="A1" s="374" t="s">
        <v>30</v>
      </c>
    </row>
    <row r="2" spans="1:11" s="382" customFormat="1" ht="13.5">
      <c r="A2" s="374" t="s">
        <v>31</v>
      </c>
      <c r="B2" s="407">
        <f>'1. key ratios '!B2</f>
        <v>44742</v>
      </c>
    </row>
    <row r="3" spans="1:11" s="382" customFormat="1" ht="12.75">
      <c r="A3" s="375" t="s">
        <v>677</v>
      </c>
    </row>
    <row r="4" spans="1:11">
      <c r="C4" s="425" t="s">
        <v>0</v>
      </c>
      <c r="D4" s="425" t="s">
        <v>1</v>
      </c>
      <c r="E4" s="425" t="s">
        <v>2</v>
      </c>
      <c r="F4" s="425" t="s">
        <v>3</v>
      </c>
      <c r="G4" s="425" t="s">
        <v>4</v>
      </c>
      <c r="H4" s="425" t="s">
        <v>5</v>
      </c>
      <c r="I4" s="425" t="s">
        <v>8</v>
      </c>
      <c r="J4" s="425" t="s">
        <v>9</v>
      </c>
      <c r="K4" s="425" t="s">
        <v>10</v>
      </c>
    </row>
    <row r="5" spans="1:11" ht="105" customHeight="1">
      <c r="A5" s="727" t="s">
        <v>678</v>
      </c>
      <c r="B5" s="728"/>
      <c r="C5" s="404" t="s">
        <v>679</v>
      </c>
      <c r="D5" s="404" t="s">
        <v>680</v>
      </c>
      <c r="E5" s="404" t="s">
        <v>681</v>
      </c>
      <c r="F5" s="426" t="s">
        <v>682</v>
      </c>
      <c r="G5" s="404" t="s">
        <v>683</v>
      </c>
      <c r="H5" s="404" t="s">
        <v>684</v>
      </c>
      <c r="I5" s="404" t="s">
        <v>685</v>
      </c>
      <c r="J5" s="404" t="s">
        <v>686</v>
      </c>
      <c r="K5" s="404" t="s">
        <v>687</v>
      </c>
    </row>
    <row r="6" spans="1:11" ht="12.75">
      <c r="A6" s="379">
        <v>1</v>
      </c>
      <c r="B6" s="379" t="s">
        <v>633</v>
      </c>
      <c r="C6" s="586">
        <v>27614469.869999997</v>
      </c>
      <c r="D6" s="586">
        <v>17131396.340000004</v>
      </c>
      <c r="E6" s="586">
        <v>0</v>
      </c>
      <c r="F6" s="586">
        <v>4081123.1800000006</v>
      </c>
      <c r="G6" s="586">
        <v>849245821.84999931</v>
      </c>
      <c r="H6" s="586">
        <v>0</v>
      </c>
      <c r="I6" s="586">
        <v>72789746.029999956</v>
      </c>
      <c r="J6" s="586">
        <v>0</v>
      </c>
      <c r="K6" s="586">
        <v>73991394.56000185</v>
      </c>
    </row>
    <row r="7" spans="1:11" ht="12.75">
      <c r="A7" s="379">
        <v>2</v>
      </c>
      <c r="B7" s="379" t="s">
        <v>688</v>
      </c>
      <c r="C7" s="586">
        <v>0</v>
      </c>
      <c r="D7" s="586">
        <v>0</v>
      </c>
      <c r="E7" s="586">
        <v>0</v>
      </c>
      <c r="F7" s="586">
        <v>0</v>
      </c>
      <c r="G7" s="586">
        <v>0</v>
      </c>
      <c r="H7" s="586">
        <v>0</v>
      </c>
      <c r="I7" s="586">
        <v>0</v>
      </c>
      <c r="J7" s="586">
        <v>0</v>
      </c>
      <c r="K7" s="586">
        <v>5000000</v>
      </c>
    </row>
    <row r="8" spans="1:11" ht="12.75">
      <c r="A8" s="379">
        <v>3</v>
      </c>
      <c r="B8" s="379" t="s">
        <v>641</v>
      </c>
      <c r="C8" s="586">
        <v>16968044.060000002</v>
      </c>
      <c r="D8" s="586">
        <v>0</v>
      </c>
      <c r="E8" s="586">
        <v>0</v>
      </c>
      <c r="F8" s="586">
        <v>0</v>
      </c>
      <c r="G8" s="586">
        <v>29553565.489999998</v>
      </c>
      <c r="H8" s="586">
        <v>0</v>
      </c>
      <c r="I8" s="586">
        <v>7103964.9400000004</v>
      </c>
      <c r="J8" s="586">
        <v>0</v>
      </c>
      <c r="K8" s="586">
        <v>46339062.165400073</v>
      </c>
    </row>
    <row r="9" spans="1:11" ht="12.75">
      <c r="A9" s="379">
        <v>4</v>
      </c>
      <c r="B9" s="402" t="s">
        <v>689</v>
      </c>
      <c r="C9" s="586">
        <v>23079.440000000002</v>
      </c>
      <c r="D9" s="586">
        <v>19022.21</v>
      </c>
      <c r="E9" s="586">
        <v>0</v>
      </c>
      <c r="F9" s="586">
        <v>0</v>
      </c>
      <c r="G9" s="586">
        <v>50890425.430000037</v>
      </c>
      <c r="H9" s="586">
        <v>0</v>
      </c>
      <c r="I9" s="586">
        <v>1390951.45</v>
      </c>
      <c r="J9" s="586">
        <v>0</v>
      </c>
      <c r="K9" s="586">
        <v>2658651.7062603161</v>
      </c>
    </row>
    <row r="10" spans="1:11" ht="12.75">
      <c r="A10" s="379">
        <v>5</v>
      </c>
      <c r="B10" s="402" t="s">
        <v>690</v>
      </c>
      <c r="C10" s="586">
        <v>0</v>
      </c>
      <c r="D10" s="586">
        <v>0</v>
      </c>
      <c r="E10" s="586">
        <v>0</v>
      </c>
      <c r="F10" s="586">
        <v>0</v>
      </c>
      <c r="G10" s="586">
        <v>0</v>
      </c>
      <c r="H10" s="586">
        <v>0</v>
      </c>
      <c r="I10" s="586">
        <v>0</v>
      </c>
      <c r="J10" s="586">
        <v>0</v>
      </c>
      <c r="K10" s="586">
        <v>0</v>
      </c>
    </row>
    <row r="11" spans="1:11" ht="12.75">
      <c r="A11" s="379">
        <v>6</v>
      </c>
      <c r="B11" s="402" t="s">
        <v>691</v>
      </c>
      <c r="C11" s="586">
        <v>0</v>
      </c>
      <c r="D11" s="586">
        <v>0</v>
      </c>
      <c r="E11" s="586">
        <v>0</v>
      </c>
      <c r="F11" s="586">
        <v>0</v>
      </c>
      <c r="G11" s="586">
        <v>0</v>
      </c>
      <c r="H11" s="586">
        <v>0</v>
      </c>
      <c r="I11" s="586">
        <v>0</v>
      </c>
      <c r="J11" s="586">
        <v>0</v>
      </c>
      <c r="K11" s="586">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8D30-66FB-4B78-9EA9-F8D9663D9611}">
  <dimension ref="A1:S20"/>
  <sheetViews>
    <sheetView showGridLines="0" topLeftCell="F1" workbookViewId="0">
      <selection activeCell="P27" sqref="P27"/>
    </sheetView>
  </sheetViews>
  <sheetFormatPr defaultRowHeight="15"/>
  <cols>
    <col min="1" max="1" width="10" bestFit="1" customWidth="1"/>
    <col min="2" max="2" width="71.7109375" customWidth="1"/>
    <col min="3" max="3" width="10.5703125" bestFit="1" customWidth="1"/>
    <col min="4" max="4" width="12.42578125" bestFit="1" customWidth="1"/>
    <col min="5" max="5" width="11.42578125" bestFit="1" customWidth="1"/>
    <col min="6" max="6" width="15" bestFit="1" customWidth="1"/>
    <col min="7" max="7" width="9" bestFit="1" customWidth="1"/>
    <col min="8" max="8" width="7.7109375" bestFit="1" customWidth="1"/>
    <col min="9" max="9" width="10.5703125" bestFit="1" customWidth="1"/>
    <col min="10" max="10" width="12.42578125" bestFit="1" customWidth="1"/>
    <col min="11" max="11" width="11.42578125" bestFit="1" customWidth="1"/>
    <col min="12" max="12" width="15" bestFit="1" customWidth="1"/>
    <col min="13" max="13" width="9" bestFit="1" customWidth="1"/>
    <col min="14" max="14" width="7.7109375" bestFit="1" customWidth="1"/>
    <col min="15" max="15" width="16.7109375" bestFit="1" customWidth="1"/>
    <col min="16" max="16" width="33.7109375" bestFit="1" customWidth="1"/>
    <col min="17" max="17" width="33.140625" customWidth="1"/>
    <col min="18" max="18" width="37.140625" bestFit="1" customWidth="1"/>
    <col min="19" max="19" width="32.140625" bestFit="1" customWidth="1"/>
  </cols>
  <sheetData>
    <row r="1" spans="1:19">
      <c r="A1" s="374" t="s">
        <v>740</v>
      </c>
      <c r="B1" s="609" t="s">
        <v>758</v>
      </c>
    </row>
    <row r="2" spans="1:19">
      <c r="A2" s="374" t="s">
        <v>741</v>
      </c>
      <c r="B2" s="610">
        <v>44742</v>
      </c>
    </row>
    <row r="3" spans="1:19">
      <c r="A3" s="375" t="s">
        <v>742</v>
      </c>
      <c r="B3" s="382"/>
    </row>
    <row r="4" spans="1:19">
      <c r="A4" s="375"/>
      <c r="B4" s="382"/>
    </row>
    <row r="5" spans="1:19" ht="24" customHeight="1">
      <c r="A5" s="730" t="s">
        <v>743</v>
      </c>
      <c r="B5" s="730"/>
      <c r="C5" s="731" t="s">
        <v>759</v>
      </c>
      <c r="D5" s="731"/>
      <c r="E5" s="731"/>
      <c r="F5" s="731"/>
      <c r="G5" s="731"/>
      <c r="H5" s="731"/>
      <c r="I5" s="731" t="s">
        <v>760</v>
      </c>
      <c r="J5" s="731"/>
      <c r="K5" s="731"/>
      <c r="L5" s="731"/>
      <c r="M5" s="731"/>
      <c r="N5" s="732"/>
      <c r="O5" s="729" t="s">
        <v>761</v>
      </c>
      <c r="P5" s="729" t="s">
        <v>762</v>
      </c>
      <c r="Q5" s="729" t="s">
        <v>763</v>
      </c>
      <c r="R5" s="729" t="s">
        <v>764</v>
      </c>
      <c r="S5" s="729" t="s">
        <v>765</v>
      </c>
    </row>
    <row r="6" spans="1:19" ht="36" customHeight="1">
      <c r="A6" s="730"/>
      <c r="B6" s="730"/>
      <c r="C6" s="611"/>
      <c r="D6" s="400" t="s">
        <v>672</v>
      </c>
      <c r="E6" s="400" t="s">
        <v>673</v>
      </c>
      <c r="F6" s="400" t="s">
        <v>674</v>
      </c>
      <c r="G6" s="400" t="s">
        <v>675</v>
      </c>
      <c r="H6" s="400" t="s">
        <v>676</v>
      </c>
      <c r="I6" s="611"/>
      <c r="J6" s="400" t="s">
        <v>672</v>
      </c>
      <c r="K6" s="400" t="s">
        <v>673</v>
      </c>
      <c r="L6" s="400" t="s">
        <v>674</v>
      </c>
      <c r="M6" s="400" t="s">
        <v>675</v>
      </c>
      <c r="N6" s="624" t="s">
        <v>676</v>
      </c>
      <c r="O6" s="729"/>
      <c r="P6" s="729"/>
      <c r="Q6" s="729"/>
      <c r="R6" s="729"/>
      <c r="S6" s="729"/>
    </row>
    <row r="7" spans="1:19">
      <c r="A7" s="612">
        <v>1</v>
      </c>
      <c r="B7" s="613" t="s">
        <v>744</v>
      </c>
      <c r="C7" s="614">
        <v>17518646.049999997</v>
      </c>
      <c r="D7" s="614">
        <v>17231658.690000001</v>
      </c>
      <c r="E7" s="614">
        <v>201714.15</v>
      </c>
      <c r="F7" s="614">
        <v>62914.32</v>
      </c>
      <c r="G7" s="614">
        <v>18780.830000000002</v>
      </c>
      <c r="H7" s="614">
        <v>3578.06</v>
      </c>
      <c r="I7" s="614">
        <v>396647.79820000002</v>
      </c>
      <c r="J7" s="614">
        <v>344633.61820000003</v>
      </c>
      <c r="K7" s="614">
        <v>20171.400000000001</v>
      </c>
      <c r="L7" s="614">
        <v>18874.3</v>
      </c>
      <c r="M7" s="614">
        <v>9390.42</v>
      </c>
      <c r="N7" s="614">
        <v>3578.06</v>
      </c>
      <c r="O7" s="614">
        <v>1657</v>
      </c>
      <c r="P7" s="615">
        <v>0.39365537981011167</v>
      </c>
      <c r="Q7" s="615">
        <v>0.47715462661342922</v>
      </c>
      <c r="R7" s="615">
        <v>0.38629809999999998</v>
      </c>
      <c r="S7" s="614">
        <v>29.185600000000001</v>
      </c>
    </row>
    <row r="8" spans="1:19">
      <c r="A8" s="612">
        <v>2</v>
      </c>
      <c r="B8" s="616" t="s">
        <v>745</v>
      </c>
      <c r="C8" s="614">
        <v>81903972.070899993</v>
      </c>
      <c r="D8" s="614">
        <v>74458348.507899985</v>
      </c>
      <c r="E8" s="614">
        <v>3445290.9022000004</v>
      </c>
      <c r="F8" s="614">
        <v>1675869.8607999999</v>
      </c>
      <c r="G8" s="614">
        <v>1555999.2776000001</v>
      </c>
      <c r="H8" s="614">
        <v>768463.52240000002</v>
      </c>
      <c r="I8" s="614">
        <v>3787657.0057000001</v>
      </c>
      <c r="J8" s="614">
        <v>1393903.51</v>
      </c>
      <c r="K8" s="614">
        <v>344529.14919999999</v>
      </c>
      <c r="L8" s="614">
        <v>502760.98609999998</v>
      </c>
      <c r="M8" s="614">
        <v>777999.83799999999</v>
      </c>
      <c r="N8" s="614">
        <v>768463.52240000002</v>
      </c>
      <c r="O8" s="614">
        <v>6447</v>
      </c>
      <c r="P8" s="615">
        <v>0.12535590618539832</v>
      </c>
      <c r="Q8" s="615">
        <v>0.15308654064160027</v>
      </c>
      <c r="R8" s="615">
        <v>0.13223405999999999</v>
      </c>
      <c r="S8" s="614">
        <v>52.269399999999997</v>
      </c>
    </row>
    <row r="9" spans="1:19" ht="25.5">
      <c r="A9" s="612">
        <v>3</v>
      </c>
      <c r="B9" s="618" t="s">
        <v>746</v>
      </c>
      <c r="C9" s="614">
        <v>0</v>
      </c>
      <c r="D9" s="614">
        <v>0</v>
      </c>
      <c r="E9" s="614">
        <v>0</v>
      </c>
      <c r="F9" s="614">
        <v>0</v>
      </c>
      <c r="G9" s="614">
        <v>0</v>
      </c>
      <c r="H9" s="614">
        <v>0</v>
      </c>
      <c r="I9" s="614">
        <v>0</v>
      </c>
      <c r="J9" s="614">
        <v>0</v>
      </c>
      <c r="K9" s="614">
        <v>0</v>
      </c>
      <c r="L9" s="614">
        <v>0</v>
      </c>
      <c r="M9" s="614">
        <v>0</v>
      </c>
      <c r="N9" s="614">
        <v>0</v>
      </c>
      <c r="O9" s="614">
        <v>0</v>
      </c>
      <c r="P9" s="615">
        <v>0</v>
      </c>
      <c r="Q9" s="615">
        <v>0</v>
      </c>
      <c r="R9" s="615">
        <v>0</v>
      </c>
      <c r="S9" s="614">
        <v>0</v>
      </c>
    </row>
    <row r="10" spans="1:19">
      <c r="A10" s="612">
        <v>4</v>
      </c>
      <c r="B10" s="616" t="s">
        <v>747</v>
      </c>
      <c r="C10" s="614">
        <v>6454.58</v>
      </c>
      <c r="D10" s="614">
        <v>6454.58</v>
      </c>
      <c r="E10" s="614">
        <v>0</v>
      </c>
      <c r="F10" s="614">
        <v>0</v>
      </c>
      <c r="G10" s="614">
        <v>0</v>
      </c>
      <c r="H10" s="614">
        <v>0</v>
      </c>
      <c r="I10" s="614">
        <v>129.09</v>
      </c>
      <c r="J10" s="614">
        <v>129.09</v>
      </c>
      <c r="K10" s="614">
        <v>0</v>
      </c>
      <c r="L10" s="614">
        <v>0</v>
      </c>
      <c r="M10" s="614">
        <v>0</v>
      </c>
      <c r="N10" s="614">
        <v>0</v>
      </c>
      <c r="O10" s="614">
        <v>5</v>
      </c>
      <c r="P10" s="615">
        <v>0</v>
      </c>
      <c r="Q10" s="615">
        <v>0.20297000000000001</v>
      </c>
      <c r="R10" s="615">
        <v>0</v>
      </c>
      <c r="S10" s="614">
        <v>10.7309</v>
      </c>
    </row>
    <row r="11" spans="1:19">
      <c r="A11" s="612">
        <v>5</v>
      </c>
      <c r="B11" s="616" t="s">
        <v>748</v>
      </c>
      <c r="C11" s="614">
        <v>2306125.2612000001</v>
      </c>
      <c r="D11" s="614">
        <v>2067076.53</v>
      </c>
      <c r="E11" s="614">
        <v>103982.29</v>
      </c>
      <c r="F11" s="614">
        <v>24742</v>
      </c>
      <c r="G11" s="614">
        <v>7786.02</v>
      </c>
      <c r="H11" s="614">
        <v>102538.4212</v>
      </c>
      <c r="I11" s="614">
        <v>165594.12119999999</v>
      </c>
      <c r="J11" s="614">
        <v>41341.72</v>
      </c>
      <c r="K11" s="614">
        <v>10398.34</v>
      </c>
      <c r="L11" s="614">
        <v>7422.61</v>
      </c>
      <c r="M11" s="614">
        <v>3893.03</v>
      </c>
      <c r="N11" s="614">
        <v>102538.4212</v>
      </c>
      <c r="O11" s="614">
        <v>3477</v>
      </c>
      <c r="P11" s="615">
        <v>0.13943278148414334</v>
      </c>
      <c r="Q11" s="615">
        <v>0.14764839848749747</v>
      </c>
      <c r="R11" s="615">
        <v>0.13896986</v>
      </c>
      <c r="S11" s="614">
        <v>23.788</v>
      </c>
    </row>
    <row r="12" spans="1:19">
      <c r="A12" s="612">
        <v>6</v>
      </c>
      <c r="B12" s="616" t="s">
        <v>749</v>
      </c>
      <c r="C12" s="614">
        <v>2166204.2938000001</v>
      </c>
      <c r="D12" s="614">
        <v>1828484.2744</v>
      </c>
      <c r="E12" s="614">
        <v>244887.16140000001</v>
      </c>
      <c r="F12" s="614">
        <v>48981.407999999996</v>
      </c>
      <c r="G12" s="614">
        <v>24525.33</v>
      </c>
      <c r="H12" s="614">
        <v>19326.12</v>
      </c>
      <c r="I12" s="614">
        <v>107258.5178</v>
      </c>
      <c r="J12" s="614">
        <v>36486.502</v>
      </c>
      <c r="K12" s="614">
        <v>24488.7811</v>
      </c>
      <c r="L12" s="614">
        <v>14694.4247</v>
      </c>
      <c r="M12" s="614">
        <v>12262.69</v>
      </c>
      <c r="N12" s="614">
        <v>19326.12</v>
      </c>
      <c r="O12" s="614">
        <v>1505</v>
      </c>
      <c r="P12" s="615">
        <v>0.2685219824391224</v>
      </c>
      <c r="Q12" s="615">
        <v>0.33286431143841944</v>
      </c>
      <c r="R12" s="615">
        <v>0.27196027</v>
      </c>
      <c r="S12" s="614">
        <v>32.295200000000001</v>
      </c>
    </row>
    <row r="13" spans="1:19">
      <c r="A13" s="612">
        <v>7</v>
      </c>
      <c r="B13" s="616" t="s">
        <v>750</v>
      </c>
      <c r="C13" s="614">
        <v>101701208.2553</v>
      </c>
      <c r="D13" s="614">
        <v>93352955.104800016</v>
      </c>
      <c r="E13" s="614">
        <v>3753126.7990999999</v>
      </c>
      <c r="F13" s="614">
        <v>3413534.1176000005</v>
      </c>
      <c r="G13" s="614">
        <v>1157547.1538</v>
      </c>
      <c r="H13" s="614">
        <v>24045.08</v>
      </c>
      <c r="I13" s="614">
        <v>3869251.0286999997</v>
      </c>
      <c r="J13" s="614">
        <v>1867059.3882999998</v>
      </c>
      <c r="K13" s="614">
        <v>375312.68579999998</v>
      </c>
      <c r="L13" s="614">
        <v>1024060.2387</v>
      </c>
      <c r="M13" s="614">
        <v>578773.63590000011</v>
      </c>
      <c r="N13" s="614">
        <v>24045.08</v>
      </c>
      <c r="O13" s="614">
        <v>1336</v>
      </c>
      <c r="P13" s="615">
        <v>0.10270342002476972</v>
      </c>
      <c r="Q13" s="615">
        <v>0.11745920385132595</v>
      </c>
      <c r="R13" s="615">
        <v>0.11228088999999999</v>
      </c>
      <c r="S13" s="614">
        <v>117.57259999999999</v>
      </c>
    </row>
    <row r="14" spans="1:19">
      <c r="A14" s="617">
        <v>7.1</v>
      </c>
      <c r="B14" s="616" t="s">
        <v>751</v>
      </c>
      <c r="C14" s="614">
        <v>75157407.429500014</v>
      </c>
      <c r="D14" s="614">
        <v>69855225.713800013</v>
      </c>
      <c r="E14" s="614">
        <v>2387764.5175999999</v>
      </c>
      <c r="F14" s="614">
        <v>2593814.3842000002</v>
      </c>
      <c r="G14" s="614">
        <v>320602.81390000001</v>
      </c>
      <c r="H14" s="614">
        <v>0</v>
      </c>
      <c r="I14" s="614">
        <v>2574326.9444999998</v>
      </c>
      <c r="J14" s="614">
        <v>1397104.7674999998</v>
      </c>
      <c r="K14" s="614">
        <v>238776.42430000001</v>
      </c>
      <c r="L14" s="614">
        <v>778144.321</v>
      </c>
      <c r="M14" s="614">
        <v>160301.43170000002</v>
      </c>
      <c r="N14" s="614">
        <v>0</v>
      </c>
      <c r="O14" s="614">
        <v>898</v>
      </c>
      <c r="P14" s="615">
        <v>0.10245133083654777</v>
      </c>
      <c r="Q14" s="615">
        <v>0.11741412015926143</v>
      </c>
      <c r="R14" s="615">
        <v>0.10899953</v>
      </c>
      <c r="S14" s="614">
        <v>120.3053</v>
      </c>
    </row>
    <row r="15" spans="1:19">
      <c r="A15" s="617">
        <v>7.2</v>
      </c>
      <c r="B15" s="618" t="s">
        <v>752</v>
      </c>
      <c r="C15" s="614">
        <v>19698841.176299997</v>
      </c>
      <c r="D15" s="614">
        <v>17327517.2597</v>
      </c>
      <c r="E15" s="614">
        <v>1269873.3332</v>
      </c>
      <c r="F15" s="614">
        <v>819719.73340000003</v>
      </c>
      <c r="G15" s="614">
        <v>257685.77</v>
      </c>
      <c r="H15" s="614">
        <v>24045.08</v>
      </c>
      <c r="I15" s="614">
        <v>872341.68119999999</v>
      </c>
      <c r="J15" s="614">
        <v>346550.42790000001</v>
      </c>
      <c r="K15" s="614">
        <v>126987.36559999999</v>
      </c>
      <c r="L15" s="614">
        <v>245915.91769999999</v>
      </c>
      <c r="M15" s="614">
        <v>128842.89</v>
      </c>
      <c r="N15" s="614">
        <v>24045.08</v>
      </c>
      <c r="O15" s="614">
        <v>328</v>
      </c>
      <c r="P15" s="615">
        <v>0.13170666052203497</v>
      </c>
      <c r="Q15" s="615">
        <v>0.15499905676040615</v>
      </c>
      <c r="R15" s="615">
        <v>0.12192065000000001</v>
      </c>
      <c r="S15" s="614">
        <v>99.9816</v>
      </c>
    </row>
    <row r="16" spans="1:19">
      <c r="A16" s="617">
        <v>7.3</v>
      </c>
      <c r="B16" s="618" t="s">
        <v>753</v>
      </c>
      <c r="C16" s="614">
        <v>6844959.6494999994</v>
      </c>
      <c r="D16" s="614">
        <v>6170212.1312999995</v>
      </c>
      <c r="E16" s="614">
        <v>95488.948299999989</v>
      </c>
      <c r="F16" s="614">
        <v>0</v>
      </c>
      <c r="G16" s="614">
        <v>579258.5699</v>
      </c>
      <c r="H16" s="614">
        <v>0</v>
      </c>
      <c r="I16" s="614">
        <v>422582.40300000005</v>
      </c>
      <c r="J16" s="614">
        <v>123404.19289999999</v>
      </c>
      <c r="K16" s="614">
        <v>9548.8958999999995</v>
      </c>
      <c r="L16" s="614">
        <v>0</v>
      </c>
      <c r="M16" s="614">
        <v>289629.31420000002</v>
      </c>
      <c r="N16" s="614">
        <v>0</v>
      </c>
      <c r="O16" s="614">
        <v>110</v>
      </c>
      <c r="P16" s="615">
        <v>9.3012454396263461E-2</v>
      </c>
      <c r="Q16" s="615">
        <v>0.10335309772380766</v>
      </c>
      <c r="R16" s="615">
        <v>0.12005409</v>
      </c>
      <c r="S16" s="614">
        <v>124.7217</v>
      </c>
    </row>
    <row r="17" spans="1:19">
      <c r="A17" s="612">
        <v>8</v>
      </c>
      <c r="B17" s="618" t="s">
        <v>754</v>
      </c>
      <c r="C17" s="614">
        <v>0</v>
      </c>
      <c r="D17" s="614">
        <v>0</v>
      </c>
      <c r="E17" s="614">
        <v>0</v>
      </c>
      <c r="F17" s="614">
        <v>0</v>
      </c>
      <c r="G17" s="614">
        <v>0</v>
      </c>
      <c r="H17" s="614">
        <v>0</v>
      </c>
      <c r="I17" s="614">
        <v>0</v>
      </c>
      <c r="J17" s="614">
        <v>0</v>
      </c>
      <c r="K17" s="614">
        <v>0</v>
      </c>
      <c r="L17" s="614">
        <v>0</v>
      </c>
      <c r="M17" s="614">
        <v>0</v>
      </c>
      <c r="N17" s="614">
        <v>0</v>
      </c>
      <c r="O17" s="614">
        <v>0</v>
      </c>
      <c r="P17" s="615">
        <v>0</v>
      </c>
      <c r="Q17" s="615">
        <v>0</v>
      </c>
      <c r="R17" s="615">
        <v>0</v>
      </c>
      <c r="S17" s="614">
        <v>0</v>
      </c>
    </row>
    <row r="18" spans="1:19">
      <c r="A18" s="619">
        <v>9</v>
      </c>
      <c r="B18" s="616" t="s">
        <v>755</v>
      </c>
      <c r="C18" s="614">
        <v>271522.5</v>
      </c>
      <c r="D18" s="614">
        <v>265965.32</v>
      </c>
      <c r="E18" s="614">
        <v>0</v>
      </c>
      <c r="F18" s="614">
        <v>5557.18</v>
      </c>
      <c r="G18" s="614">
        <v>0</v>
      </c>
      <c r="H18" s="614">
        <v>0</v>
      </c>
      <c r="I18" s="614">
        <v>6986.4500000000007</v>
      </c>
      <c r="J18" s="614">
        <v>5319.3</v>
      </c>
      <c r="K18" s="614">
        <v>0</v>
      </c>
      <c r="L18" s="614">
        <v>1667.15</v>
      </c>
      <c r="M18" s="614">
        <v>0</v>
      </c>
      <c r="N18" s="614">
        <v>0</v>
      </c>
      <c r="O18" s="614">
        <v>36</v>
      </c>
      <c r="P18" s="615">
        <v>9.9000000000000005E-2</v>
      </c>
      <c r="Q18" s="615">
        <v>9.9000000000000005E-2</v>
      </c>
      <c r="R18" s="615">
        <v>0.10997964</v>
      </c>
      <c r="S18" s="614">
        <v>72.834000000000003</v>
      </c>
    </row>
    <row r="19" spans="1:19">
      <c r="A19" s="612">
        <v>10</v>
      </c>
      <c r="B19" s="620" t="s">
        <v>756</v>
      </c>
      <c r="C19" s="622">
        <v>205874133.01119998</v>
      </c>
      <c r="D19" s="622">
        <v>189210943.00709999</v>
      </c>
      <c r="E19" s="622">
        <v>7749001.3026999999</v>
      </c>
      <c r="F19" s="622">
        <v>5231598.8864000002</v>
      </c>
      <c r="G19" s="622">
        <v>2764638.6114000003</v>
      </c>
      <c r="H19" s="622">
        <v>917951.20360000001</v>
      </c>
      <c r="I19" s="622">
        <v>8333524.0115999999</v>
      </c>
      <c r="J19" s="622">
        <v>3688873.1284999996</v>
      </c>
      <c r="K19" s="622">
        <v>774900.35609999998</v>
      </c>
      <c r="L19" s="622">
        <v>1569479.7094999999</v>
      </c>
      <c r="M19" s="622">
        <v>1382319.6139000002</v>
      </c>
      <c r="N19" s="622">
        <v>917951.20360000001</v>
      </c>
      <c r="O19" s="622">
        <v>14463</v>
      </c>
      <c r="P19" s="623">
        <v>0.19661592992799534</v>
      </c>
      <c r="Q19" s="623">
        <v>0.23337538540215136</v>
      </c>
      <c r="R19" s="623">
        <v>0.14550872194131773</v>
      </c>
      <c r="S19" s="622">
        <v>81.6053</v>
      </c>
    </row>
    <row r="20" spans="1:19">
      <c r="A20" s="617">
        <v>10.1</v>
      </c>
      <c r="B20" s="621" t="s">
        <v>757</v>
      </c>
      <c r="C20" s="614">
        <v>0</v>
      </c>
      <c r="D20" s="614">
        <v>0</v>
      </c>
      <c r="E20" s="614">
        <v>0</v>
      </c>
      <c r="F20" s="614">
        <v>0</v>
      </c>
      <c r="G20" s="614">
        <v>0</v>
      </c>
      <c r="H20" s="614">
        <v>0</v>
      </c>
      <c r="I20" s="614">
        <v>0</v>
      </c>
      <c r="J20" s="614">
        <v>0</v>
      </c>
      <c r="K20" s="614">
        <v>0</v>
      </c>
      <c r="L20" s="614">
        <v>0</v>
      </c>
      <c r="M20" s="614">
        <v>0</v>
      </c>
      <c r="N20" s="614">
        <v>0</v>
      </c>
      <c r="O20" s="614">
        <v>0</v>
      </c>
      <c r="P20" s="615">
        <v>0</v>
      </c>
      <c r="Q20" s="615">
        <v>0</v>
      </c>
      <c r="R20" s="615">
        <v>0</v>
      </c>
      <c r="S20" s="614">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H38" sqref="H38"/>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Terabank</v>
      </c>
    </row>
    <row r="2" spans="1:8">
      <c r="A2" s="2" t="s">
        <v>31</v>
      </c>
      <c r="B2" s="339">
        <f>'1. key ratios '!B2</f>
        <v>44742</v>
      </c>
    </row>
    <row r="3" spans="1:8">
      <c r="A3" s="2"/>
    </row>
    <row r="4" spans="1:8" ht="15" thickBot="1">
      <c r="A4" s="3" t="s">
        <v>32</v>
      </c>
      <c r="B4" s="13" t="s">
        <v>33</v>
      </c>
      <c r="C4" s="3"/>
      <c r="D4" s="14"/>
      <c r="E4" s="14"/>
      <c r="F4" s="15"/>
      <c r="G4" s="15"/>
      <c r="H4" s="16" t="s">
        <v>73</v>
      </c>
    </row>
    <row r="5" spans="1:8">
      <c r="A5" s="17"/>
      <c r="B5" s="18"/>
      <c r="C5" s="629" t="s">
        <v>68</v>
      </c>
      <c r="D5" s="630"/>
      <c r="E5" s="631"/>
      <c r="F5" s="629" t="s">
        <v>72</v>
      </c>
      <c r="G5" s="630"/>
      <c r="H5" s="632"/>
    </row>
    <row r="6" spans="1:8">
      <c r="A6" s="19" t="s">
        <v>6</v>
      </c>
      <c r="B6" s="20" t="s">
        <v>34</v>
      </c>
      <c r="C6" s="21" t="s">
        <v>69</v>
      </c>
      <c r="D6" s="21" t="s">
        <v>70</v>
      </c>
      <c r="E6" s="21" t="s">
        <v>71</v>
      </c>
      <c r="F6" s="21" t="s">
        <v>69</v>
      </c>
      <c r="G6" s="21" t="s">
        <v>70</v>
      </c>
      <c r="H6" s="22" t="s">
        <v>71</v>
      </c>
    </row>
    <row r="7" spans="1:8" ht="15.75">
      <c r="A7" s="19">
        <v>1</v>
      </c>
      <c r="B7" s="23" t="s">
        <v>35</v>
      </c>
      <c r="C7" s="458">
        <v>16740970.9</v>
      </c>
      <c r="D7" s="458">
        <v>16942929.000000004</v>
      </c>
      <c r="E7" s="459">
        <f>C7+D7</f>
        <v>33683899.900000006</v>
      </c>
      <c r="F7" s="458">
        <v>14721331.999999998</v>
      </c>
      <c r="G7" s="458">
        <v>28645640.600000016</v>
      </c>
      <c r="H7" s="460">
        <f>F7+G7</f>
        <v>43366972.600000016</v>
      </c>
    </row>
    <row r="8" spans="1:8" ht="15.75">
      <c r="A8" s="19">
        <v>2</v>
      </c>
      <c r="B8" s="23" t="s">
        <v>36</v>
      </c>
      <c r="C8" s="458">
        <v>18945572.640000001</v>
      </c>
      <c r="D8" s="458">
        <v>107922514.72</v>
      </c>
      <c r="E8" s="459">
        <f t="shared" ref="E8:E20" si="0">C8+D8</f>
        <v>126868087.36</v>
      </c>
      <c r="F8" s="458">
        <v>20637660.879999999</v>
      </c>
      <c r="G8" s="458">
        <v>152072001.21000001</v>
      </c>
      <c r="H8" s="460">
        <f t="shared" ref="H8:H40" si="1">F8+G8</f>
        <v>172709662.09</v>
      </c>
    </row>
    <row r="9" spans="1:8" ht="15.75">
      <c r="A9" s="19">
        <v>3</v>
      </c>
      <c r="B9" s="23" t="s">
        <v>37</v>
      </c>
      <c r="C9" s="458">
        <v>542879.86</v>
      </c>
      <c r="D9" s="458">
        <v>9365581.9900000002</v>
      </c>
      <c r="E9" s="459">
        <f t="shared" si="0"/>
        <v>9908461.8499999996</v>
      </c>
      <c r="F9" s="458">
        <v>307370.71999999997</v>
      </c>
      <c r="G9" s="458">
        <v>22876898.920000002</v>
      </c>
      <c r="H9" s="460">
        <f t="shared" si="1"/>
        <v>23184269.640000001</v>
      </c>
    </row>
    <row r="10" spans="1:8" ht="15.75">
      <c r="A10" s="19">
        <v>4</v>
      </c>
      <c r="B10" s="23" t="s">
        <v>38</v>
      </c>
      <c r="C10" s="458">
        <v>0</v>
      </c>
      <c r="D10" s="458">
        <v>0</v>
      </c>
      <c r="E10" s="458">
        <v>0</v>
      </c>
      <c r="F10" s="458">
        <v>0</v>
      </c>
      <c r="G10" s="458">
        <v>0</v>
      </c>
      <c r="H10" s="460">
        <f t="shared" si="1"/>
        <v>0</v>
      </c>
    </row>
    <row r="11" spans="1:8" ht="15.75">
      <c r="A11" s="19">
        <v>5</v>
      </c>
      <c r="B11" s="23" t="s">
        <v>39</v>
      </c>
      <c r="C11" s="458">
        <v>153115320.19999999</v>
      </c>
      <c r="D11" s="458">
        <v>0</v>
      </c>
      <c r="E11" s="459">
        <f t="shared" si="0"/>
        <v>153115320.19999999</v>
      </c>
      <c r="F11" s="458">
        <v>122129070.13</v>
      </c>
      <c r="G11" s="458">
        <v>0</v>
      </c>
      <c r="H11" s="460">
        <f t="shared" si="1"/>
        <v>122129070.13</v>
      </c>
    </row>
    <row r="12" spans="1:8" ht="15.75">
      <c r="A12" s="19">
        <v>6.1</v>
      </c>
      <c r="B12" s="24" t="s">
        <v>40</v>
      </c>
      <c r="C12" s="458">
        <v>515504950.11000192</v>
      </c>
      <c r="D12" s="458">
        <v>529349001.71999925</v>
      </c>
      <c r="E12" s="459">
        <f t="shared" si="0"/>
        <v>1044853951.8300011</v>
      </c>
      <c r="F12" s="458">
        <v>384554294.04999816</v>
      </c>
      <c r="G12" s="458">
        <v>565413092.07000065</v>
      </c>
      <c r="H12" s="460">
        <f t="shared" si="1"/>
        <v>949967386.11999881</v>
      </c>
    </row>
    <row r="13" spans="1:8" ht="15.75">
      <c r="A13" s="19">
        <v>6.2</v>
      </c>
      <c r="B13" s="24" t="s">
        <v>41</v>
      </c>
      <c r="C13" s="458">
        <v>20261270.880000118</v>
      </c>
      <c r="D13" s="458">
        <v>27468381.120000016</v>
      </c>
      <c r="E13" s="459">
        <f t="shared" si="0"/>
        <v>47729652.000000134</v>
      </c>
      <c r="F13" s="458">
        <v>18099421.3800001</v>
      </c>
      <c r="G13" s="458">
        <v>35238630.490000002</v>
      </c>
      <c r="H13" s="460">
        <f t="shared" si="1"/>
        <v>53338051.870000102</v>
      </c>
    </row>
    <row r="14" spans="1:8" ht="15.75">
      <c r="A14" s="19">
        <v>6</v>
      </c>
      <c r="B14" s="23" t="s">
        <v>42</v>
      </c>
      <c r="C14" s="459">
        <f>C12-C13</f>
        <v>495243679.23000181</v>
      </c>
      <c r="D14" s="459">
        <f>D12-D13</f>
        <v>501880620.59999925</v>
      </c>
      <c r="E14" s="459">
        <f t="shared" si="0"/>
        <v>997124299.83000112</v>
      </c>
      <c r="F14" s="459">
        <f>F12-F13</f>
        <v>366454872.66999805</v>
      </c>
      <c r="G14" s="459">
        <f>G12-G13</f>
        <v>530174461.58000064</v>
      </c>
      <c r="H14" s="460">
        <f t="shared" si="1"/>
        <v>896629334.24999869</v>
      </c>
    </row>
    <row r="15" spans="1:8" ht="15.75">
      <c r="A15" s="19">
        <v>7</v>
      </c>
      <c r="B15" s="23" t="s">
        <v>43</v>
      </c>
      <c r="C15" s="458">
        <v>8297095.3600000301</v>
      </c>
      <c r="D15" s="458">
        <v>3882781.3899999945</v>
      </c>
      <c r="E15" s="459">
        <f t="shared" si="0"/>
        <v>12179876.750000024</v>
      </c>
      <c r="F15" s="458">
        <v>6679958.8899999661</v>
      </c>
      <c r="G15" s="458">
        <v>7017122.7099999925</v>
      </c>
      <c r="H15" s="460">
        <f t="shared" si="1"/>
        <v>13697081.599999959</v>
      </c>
    </row>
    <row r="16" spans="1:8" ht="15.75">
      <c r="A16" s="19">
        <v>8</v>
      </c>
      <c r="B16" s="23" t="s">
        <v>199</v>
      </c>
      <c r="C16" s="458">
        <v>4635228.3099999931</v>
      </c>
      <c r="D16" s="458">
        <v>0</v>
      </c>
      <c r="E16" s="459">
        <f t="shared" si="0"/>
        <v>4635228.3099999931</v>
      </c>
      <c r="F16" s="458">
        <v>3070297.77000002</v>
      </c>
      <c r="G16" s="458">
        <v>0</v>
      </c>
      <c r="H16" s="460">
        <f t="shared" si="1"/>
        <v>3070297.77000002</v>
      </c>
    </row>
    <row r="17" spans="1:8" ht="15.75">
      <c r="A17" s="19">
        <v>9</v>
      </c>
      <c r="B17" s="23" t="s">
        <v>44</v>
      </c>
      <c r="C17" s="458">
        <v>0</v>
      </c>
      <c r="D17" s="458">
        <v>0</v>
      </c>
      <c r="E17" s="459">
        <f t="shared" si="0"/>
        <v>0</v>
      </c>
      <c r="F17" s="458">
        <v>0</v>
      </c>
      <c r="G17" s="458">
        <v>0</v>
      </c>
      <c r="H17" s="460">
        <f t="shared" si="1"/>
        <v>0</v>
      </c>
    </row>
    <row r="18" spans="1:8" ht="15.75">
      <c r="A18" s="19">
        <v>10</v>
      </c>
      <c r="B18" s="23" t="s">
        <v>45</v>
      </c>
      <c r="C18" s="458">
        <v>46687861.470000021</v>
      </c>
      <c r="D18" s="458">
        <v>0</v>
      </c>
      <c r="E18" s="459">
        <f t="shared" si="0"/>
        <v>46687861.470000021</v>
      </c>
      <c r="F18" s="458">
        <v>46329030.339999989</v>
      </c>
      <c r="G18" s="458">
        <v>0</v>
      </c>
      <c r="H18" s="460">
        <f t="shared" si="1"/>
        <v>46329030.339999989</v>
      </c>
    </row>
    <row r="19" spans="1:8" ht="15.75">
      <c r="A19" s="19">
        <v>11</v>
      </c>
      <c r="B19" s="23" t="s">
        <v>46</v>
      </c>
      <c r="C19" s="458">
        <v>6987331.6239999998</v>
      </c>
      <c r="D19" s="458">
        <v>1038047.3800000001</v>
      </c>
      <c r="E19" s="459">
        <f t="shared" si="0"/>
        <v>8025379.0039999997</v>
      </c>
      <c r="F19" s="458">
        <v>12223844.362999998</v>
      </c>
      <c r="G19" s="458">
        <v>750224.07000000007</v>
      </c>
      <c r="H19" s="460">
        <f t="shared" si="1"/>
        <v>12974068.432999998</v>
      </c>
    </row>
    <row r="20" spans="1:8" ht="15.75">
      <c r="A20" s="19">
        <v>12</v>
      </c>
      <c r="B20" s="26" t="s">
        <v>47</v>
      </c>
      <c r="C20" s="459">
        <f>SUM(C7:C11)+SUM(C14:C19)</f>
        <v>751195939.59400177</v>
      </c>
      <c r="D20" s="459">
        <f>SUM(D7:D11)+SUM(D14:D19)</f>
        <v>641032475.07999921</v>
      </c>
      <c r="E20" s="459">
        <f t="shared" si="0"/>
        <v>1392228414.674001</v>
      </c>
      <c r="F20" s="459">
        <f>SUM(F7:F11)+SUM(F14:F19)</f>
        <v>592553437.76299798</v>
      </c>
      <c r="G20" s="459">
        <f>SUM(G7:G11)+SUM(G14:G19)</f>
        <v>741536349.09000075</v>
      </c>
      <c r="H20" s="460">
        <f t="shared" si="1"/>
        <v>1334089786.8529987</v>
      </c>
    </row>
    <row r="21" spans="1:8" ht="15.75">
      <c r="A21" s="19"/>
      <c r="B21" s="20" t="s">
        <v>48</v>
      </c>
      <c r="C21" s="458"/>
      <c r="D21" s="458"/>
      <c r="E21" s="461"/>
      <c r="F21" s="458"/>
      <c r="G21" s="458"/>
      <c r="H21" s="462"/>
    </row>
    <row r="22" spans="1:8" ht="15.75">
      <c r="A22" s="19">
        <v>13</v>
      </c>
      <c r="B22" s="23" t="s">
        <v>49</v>
      </c>
      <c r="C22" s="458">
        <v>3002532.98</v>
      </c>
      <c r="D22" s="458">
        <v>4525002.3600000003</v>
      </c>
      <c r="E22" s="459">
        <f>C22+D22</f>
        <v>7527535.3399999999</v>
      </c>
      <c r="F22" s="458">
        <v>2539.06</v>
      </c>
      <c r="G22" s="458">
        <v>61533.01</v>
      </c>
      <c r="H22" s="460">
        <f t="shared" si="1"/>
        <v>64072.07</v>
      </c>
    </row>
    <row r="23" spans="1:8" ht="15.75">
      <c r="A23" s="19">
        <v>14</v>
      </c>
      <c r="B23" s="23" t="s">
        <v>50</v>
      </c>
      <c r="C23" s="458">
        <v>82902090.160000205</v>
      </c>
      <c r="D23" s="458">
        <v>104136550.11009094</v>
      </c>
      <c r="E23" s="459">
        <f t="shared" ref="E23:E40" si="2">C23+D23</f>
        <v>187038640.27009115</v>
      </c>
      <c r="F23" s="458">
        <v>77528698.840000123</v>
      </c>
      <c r="G23" s="458">
        <v>153043270.86011034</v>
      </c>
      <c r="H23" s="460">
        <f t="shared" si="1"/>
        <v>230571969.70011047</v>
      </c>
    </row>
    <row r="24" spans="1:8" ht="15.75">
      <c r="A24" s="19">
        <v>15</v>
      </c>
      <c r="B24" s="23" t="s">
        <v>51</v>
      </c>
      <c r="C24" s="458">
        <v>96264458.819999948</v>
      </c>
      <c r="D24" s="458">
        <v>122845782.8200001</v>
      </c>
      <c r="E24" s="459">
        <f t="shared" si="2"/>
        <v>219110241.64000005</v>
      </c>
      <c r="F24" s="458">
        <v>74387570.36999996</v>
      </c>
      <c r="G24" s="458">
        <v>174621233.82999974</v>
      </c>
      <c r="H24" s="460">
        <f t="shared" si="1"/>
        <v>249008804.19999969</v>
      </c>
    </row>
    <row r="25" spans="1:8" ht="15.75">
      <c r="A25" s="19">
        <v>16</v>
      </c>
      <c r="B25" s="23" t="s">
        <v>52</v>
      </c>
      <c r="C25" s="458">
        <v>167846235.50000003</v>
      </c>
      <c r="D25" s="458">
        <v>252869557.97000009</v>
      </c>
      <c r="E25" s="459">
        <f t="shared" si="2"/>
        <v>420715793.47000015</v>
      </c>
      <c r="F25" s="458">
        <v>127603100.84</v>
      </c>
      <c r="G25" s="458">
        <v>257161792.57000035</v>
      </c>
      <c r="H25" s="460">
        <f t="shared" si="1"/>
        <v>384764893.41000032</v>
      </c>
    </row>
    <row r="26" spans="1:8" ht="15.75">
      <c r="A26" s="19">
        <v>17</v>
      </c>
      <c r="B26" s="23" t="s">
        <v>53</v>
      </c>
      <c r="C26" s="458">
        <v>0</v>
      </c>
      <c r="D26" s="458">
        <v>0</v>
      </c>
      <c r="E26" s="459">
        <f t="shared" si="2"/>
        <v>0</v>
      </c>
      <c r="F26" s="458">
        <v>0</v>
      </c>
      <c r="G26" s="458">
        <v>0</v>
      </c>
      <c r="H26" s="460">
        <f t="shared" si="1"/>
        <v>0</v>
      </c>
    </row>
    <row r="27" spans="1:8" ht="15.75">
      <c r="A27" s="19">
        <v>18</v>
      </c>
      <c r="B27" s="23" t="s">
        <v>54</v>
      </c>
      <c r="C27" s="458">
        <v>244316500.00000003</v>
      </c>
      <c r="D27" s="458">
        <v>49437246</v>
      </c>
      <c r="E27" s="459">
        <f t="shared" si="2"/>
        <v>293753746</v>
      </c>
      <c r="F27" s="458">
        <v>170027500</v>
      </c>
      <c r="G27" s="458">
        <v>64470108</v>
      </c>
      <c r="H27" s="460">
        <f t="shared" si="1"/>
        <v>234497608</v>
      </c>
    </row>
    <row r="28" spans="1:8" ht="15.75">
      <c r="A28" s="19">
        <v>19</v>
      </c>
      <c r="B28" s="23" t="s">
        <v>55</v>
      </c>
      <c r="C28" s="458">
        <v>4309753.3600000059</v>
      </c>
      <c r="D28" s="458">
        <v>2279771.29</v>
      </c>
      <c r="E28" s="459">
        <f t="shared" si="2"/>
        <v>6589524.650000006</v>
      </c>
      <c r="F28" s="458">
        <v>3101288.4700000007</v>
      </c>
      <c r="G28" s="458">
        <v>2968842.7500000014</v>
      </c>
      <c r="H28" s="460">
        <f t="shared" si="1"/>
        <v>6070131.2200000025</v>
      </c>
    </row>
    <row r="29" spans="1:8" ht="15.75">
      <c r="A29" s="19">
        <v>20</v>
      </c>
      <c r="B29" s="23" t="s">
        <v>56</v>
      </c>
      <c r="C29" s="458">
        <v>10374849.029999999</v>
      </c>
      <c r="D29" s="458">
        <v>12707125.890000001</v>
      </c>
      <c r="E29" s="459">
        <f t="shared" si="2"/>
        <v>23081974.920000002</v>
      </c>
      <c r="F29" s="458">
        <v>9716991.6599999927</v>
      </c>
      <c r="G29" s="458">
        <v>17635740.27</v>
      </c>
      <c r="H29" s="460">
        <f t="shared" si="1"/>
        <v>27352731.929999992</v>
      </c>
    </row>
    <row r="30" spans="1:8" ht="15.75">
      <c r="A30" s="19">
        <v>21</v>
      </c>
      <c r="B30" s="23" t="s">
        <v>57</v>
      </c>
      <c r="C30" s="458">
        <v>0</v>
      </c>
      <c r="D30" s="458">
        <v>63578573.359999999</v>
      </c>
      <c r="E30" s="459">
        <f t="shared" si="2"/>
        <v>63578573.359999999</v>
      </c>
      <c r="F30" s="458">
        <v>0</v>
      </c>
      <c r="G30" s="458">
        <v>61232587.399999999</v>
      </c>
      <c r="H30" s="460">
        <f t="shared" si="1"/>
        <v>61232587.399999999</v>
      </c>
    </row>
    <row r="31" spans="1:8" ht="15.75">
      <c r="A31" s="19">
        <v>22</v>
      </c>
      <c r="B31" s="26" t="s">
        <v>58</v>
      </c>
      <c r="C31" s="459">
        <f>SUM(C22:C30)</f>
        <v>609016419.85000014</v>
      </c>
      <c r="D31" s="459">
        <f>SUM(D22:D30)</f>
        <v>612379609.80009115</v>
      </c>
      <c r="E31" s="459">
        <f>C31+D31</f>
        <v>1221396029.6500912</v>
      </c>
      <c r="F31" s="459">
        <f>SUM(F22:F30)</f>
        <v>462367689.24000013</v>
      </c>
      <c r="G31" s="459">
        <f>SUM(G22:G30)</f>
        <v>731195108.69011033</v>
      </c>
      <c r="H31" s="460">
        <f t="shared" si="1"/>
        <v>1193562797.9301105</v>
      </c>
    </row>
    <row r="32" spans="1:8" ht="15.75">
      <c r="A32" s="19"/>
      <c r="B32" s="20" t="s">
        <v>59</v>
      </c>
      <c r="C32" s="458"/>
      <c r="D32" s="458"/>
      <c r="E32" s="458"/>
      <c r="F32" s="458"/>
      <c r="G32" s="458"/>
      <c r="H32" s="462"/>
    </row>
    <row r="33" spans="1:8" ht="15.75">
      <c r="A33" s="19">
        <v>23</v>
      </c>
      <c r="B33" s="23" t="s">
        <v>60</v>
      </c>
      <c r="C33" s="458">
        <v>121372000</v>
      </c>
      <c r="D33" s="458">
        <v>0</v>
      </c>
      <c r="E33" s="459">
        <f t="shared" si="2"/>
        <v>121372000</v>
      </c>
      <c r="F33" s="458">
        <v>121372000</v>
      </c>
      <c r="G33" s="458">
        <v>0</v>
      </c>
      <c r="H33" s="460">
        <f t="shared" si="1"/>
        <v>121372000</v>
      </c>
    </row>
    <row r="34" spans="1:8" ht="15.75">
      <c r="A34" s="19">
        <v>24</v>
      </c>
      <c r="B34" s="23" t="s">
        <v>61</v>
      </c>
      <c r="C34" s="458">
        <v>0</v>
      </c>
      <c r="D34" s="458">
        <v>0</v>
      </c>
      <c r="E34" s="459">
        <f t="shared" si="2"/>
        <v>0</v>
      </c>
      <c r="F34" s="458">
        <v>0</v>
      </c>
      <c r="G34" s="458">
        <v>0</v>
      </c>
      <c r="H34" s="460">
        <f t="shared" si="1"/>
        <v>0</v>
      </c>
    </row>
    <row r="35" spans="1:8" ht="15.75">
      <c r="A35" s="19">
        <v>25</v>
      </c>
      <c r="B35" s="25" t="s">
        <v>62</v>
      </c>
      <c r="C35" s="458">
        <v>0</v>
      </c>
      <c r="D35" s="458">
        <v>0</v>
      </c>
      <c r="E35" s="459">
        <f t="shared" si="2"/>
        <v>0</v>
      </c>
      <c r="F35" s="458">
        <v>0</v>
      </c>
      <c r="G35" s="458">
        <v>0</v>
      </c>
      <c r="H35" s="460">
        <f t="shared" si="1"/>
        <v>0</v>
      </c>
    </row>
    <row r="36" spans="1:8" ht="15.75">
      <c r="A36" s="19">
        <v>26</v>
      </c>
      <c r="B36" s="23" t="s">
        <v>63</v>
      </c>
      <c r="C36" s="458">
        <v>0</v>
      </c>
      <c r="D36" s="458">
        <v>0</v>
      </c>
      <c r="E36" s="459">
        <f t="shared" si="2"/>
        <v>0</v>
      </c>
      <c r="F36" s="458">
        <v>0</v>
      </c>
      <c r="G36" s="458">
        <v>0</v>
      </c>
      <c r="H36" s="460">
        <f t="shared" si="1"/>
        <v>0</v>
      </c>
    </row>
    <row r="37" spans="1:8" ht="15.75">
      <c r="A37" s="19">
        <v>27</v>
      </c>
      <c r="B37" s="23" t="s">
        <v>64</v>
      </c>
      <c r="C37" s="458">
        <v>0</v>
      </c>
      <c r="D37" s="458">
        <v>0</v>
      </c>
      <c r="E37" s="459">
        <f t="shared" si="2"/>
        <v>0</v>
      </c>
      <c r="F37" s="458">
        <v>0</v>
      </c>
      <c r="G37" s="458">
        <v>0</v>
      </c>
      <c r="H37" s="460">
        <f t="shared" si="1"/>
        <v>0</v>
      </c>
    </row>
    <row r="38" spans="1:8" ht="15.75">
      <c r="A38" s="19">
        <v>28</v>
      </c>
      <c r="B38" s="23" t="s">
        <v>65</v>
      </c>
      <c r="C38" s="458">
        <v>49460384.989999995</v>
      </c>
      <c r="D38" s="458">
        <v>0</v>
      </c>
      <c r="E38" s="459">
        <f t="shared" si="2"/>
        <v>49460384.989999995</v>
      </c>
      <c r="F38" s="458">
        <v>19154988.900000006</v>
      </c>
      <c r="G38" s="458">
        <v>0</v>
      </c>
      <c r="H38" s="460">
        <f t="shared" si="1"/>
        <v>19154988.900000006</v>
      </c>
    </row>
    <row r="39" spans="1:8" ht="15.75">
      <c r="A39" s="19">
        <v>29</v>
      </c>
      <c r="B39" s="23" t="s">
        <v>66</v>
      </c>
      <c r="C39" s="458">
        <v>0</v>
      </c>
      <c r="D39" s="458">
        <v>0</v>
      </c>
      <c r="E39" s="459">
        <f t="shared" si="2"/>
        <v>0</v>
      </c>
      <c r="F39" s="458">
        <v>0</v>
      </c>
      <c r="G39" s="458">
        <v>0</v>
      </c>
      <c r="H39" s="460">
        <f t="shared" si="1"/>
        <v>0</v>
      </c>
    </row>
    <row r="40" spans="1:8" ht="15.75">
      <c r="A40" s="19">
        <v>30</v>
      </c>
      <c r="B40" s="212" t="s">
        <v>266</v>
      </c>
      <c r="C40" s="458">
        <v>170832384.99000001</v>
      </c>
      <c r="D40" s="458">
        <v>0</v>
      </c>
      <c r="E40" s="459">
        <f t="shared" si="2"/>
        <v>170832384.99000001</v>
      </c>
      <c r="F40" s="458">
        <v>140526988.90000001</v>
      </c>
      <c r="G40" s="458">
        <v>0</v>
      </c>
      <c r="H40" s="460">
        <f t="shared" si="1"/>
        <v>140526988.90000001</v>
      </c>
    </row>
    <row r="41" spans="1:8" ht="16.5" thickBot="1">
      <c r="A41" s="27">
        <v>31</v>
      </c>
      <c r="B41" s="28" t="s">
        <v>67</v>
      </c>
      <c r="C41" s="463">
        <f>C31+C40</f>
        <v>779848804.84000015</v>
      </c>
      <c r="D41" s="463">
        <f>D31+D40</f>
        <v>612379609.80009115</v>
      </c>
      <c r="E41" s="463">
        <f>C41+D41</f>
        <v>1392228414.6400914</v>
      </c>
      <c r="F41" s="463">
        <f>F31+F40</f>
        <v>602894678.1400001</v>
      </c>
      <c r="G41" s="463">
        <f>G31+G40</f>
        <v>731195108.69011033</v>
      </c>
      <c r="H41" s="464">
        <f>F41+G41</f>
        <v>1334089786.8301105</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40" activePane="bottomRight" state="frozen"/>
      <selection activeCell="B9" sqref="B9"/>
      <selection pane="topRight" activeCell="B9" sqref="B9"/>
      <selection pane="bottomLeft" activeCell="B9" sqref="B9"/>
      <selection pane="bottomRight" activeCell="H63" sqref="H63"/>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Terabank</v>
      </c>
      <c r="C1" s="3">
        <f>'Info '!D2</f>
        <v>0</v>
      </c>
    </row>
    <row r="2" spans="1:8">
      <c r="A2" s="2" t="s">
        <v>31</v>
      </c>
      <c r="B2" s="3"/>
      <c r="C2" s="339">
        <f>'1. key ratios '!B2</f>
        <v>44742</v>
      </c>
    </row>
    <row r="3" spans="1:8">
      <c r="A3" s="2"/>
      <c r="B3" s="3"/>
      <c r="C3" s="3"/>
    </row>
    <row r="4" spans="1:8" ht="13.5" thickBot="1">
      <c r="A4" s="3" t="s">
        <v>195</v>
      </c>
      <c r="B4" s="175" t="s">
        <v>22</v>
      </c>
      <c r="C4" s="3"/>
      <c r="D4" s="14"/>
      <c r="E4" s="14"/>
      <c r="F4" s="15"/>
      <c r="G4" s="15"/>
      <c r="H4" s="31" t="s">
        <v>73</v>
      </c>
    </row>
    <row r="5" spans="1:8">
      <c r="A5" s="32" t="s">
        <v>6</v>
      </c>
      <c r="B5" s="33"/>
      <c r="C5" s="629" t="s">
        <v>68</v>
      </c>
      <c r="D5" s="630"/>
      <c r="E5" s="631"/>
      <c r="F5" s="629" t="s">
        <v>72</v>
      </c>
      <c r="G5" s="630"/>
      <c r="H5" s="632"/>
    </row>
    <row r="6" spans="1:8">
      <c r="A6" s="34" t="s">
        <v>6</v>
      </c>
      <c r="B6" s="35"/>
      <c r="C6" s="21" t="s">
        <v>69</v>
      </c>
      <c r="D6" s="21" t="s">
        <v>70</v>
      </c>
      <c r="E6" s="21" t="s">
        <v>71</v>
      </c>
      <c r="F6" s="21" t="s">
        <v>69</v>
      </c>
      <c r="G6" s="21" t="s">
        <v>70</v>
      </c>
      <c r="H6" s="22" t="s">
        <v>71</v>
      </c>
    </row>
    <row r="7" spans="1:8">
      <c r="A7" s="19"/>
      <c r="B7" s="175" t="s">
        <v>194</v>
      </c>
      <c r="C7" s="36"/>
      <c r="D7" s="36"/>
      <c r="E7" s="36"/>
      <c r="F7" s="36"/>
      <c r="G7" s="36"/>
      <c r="H7" s="37"/>
    </row>
    <row r="8" spans="1:8" ht="15">
      <c r="A8" s="19">
        <v>1</v>
      </c>
      <c r="B8" s="38" t="s">
        <v>193</v>
      </c>
      <c r="C8" s="465">
        <v>846702.12</v>
      </c>
      <c r="D8" s="465">
        <v>-138544.91999999998</v>
      </c>
      <c r="E8" s="459">
        <f>C8+D8</f>
        <v>708157.2</v>
      </c>
      <c r="F8" s="465">
        <v>560358.27</v>
      </c>
      <c r="G8" s="465">
        <v>-279207.08999999997</v>
      </c>
      <c r="H8" s="466">
        <f>F8+G8</f>
        <v>281151.18000000005</v>
      </c>
    </row>
    <row r="9" spans="1:8" ht="15">
      <c r="A9" s="19">
        <v>2</v>
      </c>
      <c r="B9" s="38" t="s">
        <v>192</v>
      </c>
      <c r="C9" s="467">
        <f>SUM(C10:C18)</f>
        <v>33958347.649999999</v>
      </c>
      <c r="D9" s="467">
        <f>SUM(D10:D18)</f>
        <v>18443851.630000003</v>
      </c>
      <c r="E9" s="459">
        <f t="shared" ref="E9:E67" si="0">C9+D9</f>
        <v>52402199.280000001</v>
      </c>
      <c r="F9" s="467">
        <f>SUM(F10:F18)</f>
        <v>23363666.130000003</v>
      </c>
      <c r="G9" s="467">
        <f>SUM(G10:G18)</f>
        <v>21147304.579999998</v>
      </c>
      <c r="H9" s="466">
        <f t="shared" ref="H9:H67" si="1">F9+G9</f>
        <v>44510970.710000001</v>
      </c>
    </row>
    <row r="10" spans="1:8" ht="15">
      <c r="A10" s="19">
        <v>2.1</v>
      </c>
      <c r="B10" s="39" t="s">
        <v>191</v>
      </c>
      <c r="C10" s="465">
        <v>0</v>
      </c>
      <c r="D10" s="465">
        <v>0</v>
      </c>
      <c r="E10" s="459">
        <f t="shared" si="0"/>
        <v>0</v>
      </c>
      <c r="F10" s="465">
        <v>0</v>
      </c>
      <c r="G10" s="465">
        <v>0</v>
      </c>
      <c r="H10" s="466">
        <f t="shared" si="1"/>
        <v>0</v>
      </c>
    </row>
    <row r="11" spans="1:8" ht="15">
      <c r="A11" s="19">
        <v>2.2000000000000002</v>
      </c>
      <c r="B11" s="39" t="s">
        <v>190</v>
      </c>
      <c r="C11" s="465">
        <v>8609377.7299999986</v>
      </c>
      <c r="D11" s="465">
        <v>6251151.1500000004</v>
      </c>
      <c r="E11" s="459">
        <f t="shared" si="0"/>
        <v>14860528.879999999</v>
      </c>
      <c r="F11" s="465">
        <v>5118355.1800000006</v>
      </c>
      <c r="G11" s="465">
        <v>7972518.4799999995</v>
      </c>
      <c r="H11" s="466">
        <f t="shared" si="1"/>
        <v>13090873.66</v>
      </c>
    </row>
    <row r="12" spans="1:8" ht="15">
      <c r="A12" s="19">
        <v>2.2999999999999998</v>
      </c>
      <c r="B12" s="39" t="s">
        <v>189</v>
      </c>
      <c r="C12" s="465">
        <v>0</v>
      </c>
      <c r="D12" s="465">
        <v>646449.46</v>
      </c>
      <c r="E12" s="459">
        <f t="shared" si="0"/>
        <v>646449.46</v>
      </c>
      <c r="F12" s="465">
        <v>0</v>
      </c>
      <c r="G12" s="465">
        <v>406010.13</v>
      </c>
      <c r="H12" s="466">
        <f t="shared" si="1"/>
        <v>406010.13</v>
      </c>
    </row>
    <row r="13" spans="1:8" ht="15">
      <c r="A13" s="19">
        <v>2.4</v>
      </c>
      <c r="B13" s="39" t="s">
        <v>188</v>
      </c>
      <c r="C13" s="465">
        <v>724699.15</v>
      </c>
      <c r="D13" s="465">
        <v>116342.59</v>
      </c>
      <c r="E13" s="459">
        <f t="shared" si="0"/>
        <v>841041.74</v>
      </c>
      <c r="F13" s="465">
        <v>298361.62</v>
      </c>
      <c r="G13" s="465">
        <v>62320.27</v>
      </c>
      <c r="H13" s="466">
        <f t="shared" si="1"/>
        <v>360681.89</v>
      </c>
    </row>
    <row r="14" spans="1:8" ht="15">
      <c r="A14" s="19">
        <v>2.5</v>
      </c>
      <c r="B14" s="39" t="s">
        <v>187</v>
      </c>
      <c r="C14" s="465">
        <v>619877.23999999987</v>
      </c>
      <c r="D14" s="465">
        <v>3553315.28</v>
      </c>
      <c r="E14" s="459">
        <f t="shared" si="0"/>
        <v>4173192.5199999996</v>
      </c>
      <c r="F14" s="465">
        <v>407361.61999999994</v>
      </c>
      <c r="G14" s="465">
        <v>2876042.4399999995</v>
      </c>
      <c r="H14" s="466">
        <f t="shared" si="1"/>
        <v>3283404.0599999996</v>
      </c>
    </row>
    <row r="15" spans="1:8" ht="15">
      <c r="A15" s="19">
        <v>2.6</v>
      </c>
      <c r="B15" s="39" t="s">
        <v>186</v>
      </c>
      <c r="C15" s="465">
        <v>9200.4</v>
      </c>
      <c r="D15" s="465">
        <v>8742.99</v>
      </c>
      <c r="E15" s="459">
        <f t="shared" si="0"/>
        <v>17943.39</v>
      </c>
      <c r="F15" s="465">
        <v>10932.220000000001</v>
      </c>
      <c r="G15" s="465">
        <v>12609.2</v>
      </c>
      <c r="H15" s="466">
        <f t="shared" si="1"/>
        <v>23541.420000000002</v>
      </c>
    </row>
    <row r="16" spans="1:8" ht="15">
      <c r="A16" s="19">
        <v>2.7</v>
      </c>
      <c r="B16" s="39" t="s">
        <v>185</v>
      </c>
      <c r="C16" s="465">
        <v>62484.740000000005</v>
      </c>
      <c r="D16" s="465">
        <v>0</v>
      </c>
      <c r="E16" s="459">
        <f t="shared" si="0"/>
        <v>62484.740000000005</v>
      </c>
      <c r="F16" s="465">
        <v>4601.87</v>
      </c>
      <c r="G16" s="465">
        <v>0</v>
      </c>
      <c r="H16" s="466">
        <f t="shared" si="1"/>
        <v>4601.87</v>
      </c>
    </row>
    <row r="17" spans="1:8" ht="15">
      <c r="A17" s="19">
        <v>2.8</v>
      </c>
      <c r="B17" s="39" t="s">
        <v>184</v>
      </c>
      <c r="C17" s="465">
        <v>21080559.18</v>
      </c>
      <c r="D17" s="465">
        <v>7414122.6999999993</v>
      </c>
      <c r="E17" s="459">
        <f t="shared" si="0"/>
        <v>28494681.879999999</v>
      </c>
      <c r="F17" s="465">
        <v>14856457.670000002</v>
      </c>
      <c r="G17" s="465">
        <v>9193174.8300000001</v>
      </c>
      <c r="H17" s="466">
        <f t="shared" si="1"/>
        <v>24049632.5</v>
      </c>
    </row>
    <row r="18" spans="1:8" ht="15">
      <c r="A18" s="19">
        <v>2.9</v>
      </c>
      <c r="B18" s="39" t="s">
        <v>183</v>
      </c>
      <c r="C18" s="465">
        <v>2852149.2100000004</v>
      </c>
      <c r="D18" s="465">
        <v>453727.45999999996</v>
      </c>
      <c r="E18" s="459">
        <f t="shared" si="0"/>
        <v>3305876.6700000004</v>
      </c>
      <c r="F18" s="465">
        <v>2667595.9499999997</v>
      </c>
      <c r="G18" s="465">
        <v>624629.23</v>
      </c>
      <c r="H18" s="466">
        <f t="shared" si="1"/>
        <v>3292225.1799999997</v>
      </c>
    </row>
    <row r="19" spans="1:8" ht="15">
      <c r="A19" s="19">
        <v>3</v>
      </c>
      <c r="B19" s="38" t="s">
        <v>182</v>
      </c>
      <c r="C19" s="465">
        <v>702598.39999999967</v>
      </c>
      <c r="D19" s="465">
        <v>517501.3</v>
      </c>
      <c r="E19" s="459">
        <f t="shared" si="0"/>
        <v>1220099.6999999997</v>
      </c>
      <c r="F19" s="465">
        <v>500540.21</v>
      </c>
      <c r="G19" s="465">
        <v>630733.68000000005</v>
      </c>
      <c r="H19" s="466">
        <f t="shared" si="1"/>
        <v>1131273.8900000001</v>
      </c>
    </row>
    <row r="20" spans="1:8" ht="15">
      <c r="A20" s="19">
        <v>4</v>
      </c>
      <c r="B20" s="38" t="s">
        <v>181</v>
      </c>
      <c r="C20" s="465">
        <v>6853438.0499999998</v>
      </c>
      <c r="D20" s="465">
        <v>0</v>
      </c>
      <c r="E20" s="459">
        <f t="shared" si="0"/>
        <v>6853438.0499999998</v>
      </c>
      <c r="F20" s="465">
        <v>3961682.07</v>
      </c>
      <c r="G20" s="465">
        <v>0</v>
      </c>
      <c r="H20" s="466">
        <f t="shared" si="1"/>
        <v>3961682.07</v>
      </c>
    </row>
    <row r="21" spans="1:8" ht="15">
      <c r="A21" s="19">
        <v>5</v>
      </c>
      <c r="B21" s="38" t="s">
        <v>180</v>
      </c>
      <c r="C21" s="465">
        <v>590785.75</v>
      </c>
      <c r="D21" s="465">
        <v>252042.21</v>
      </c>
      <c r="E21" s="459">
        <f t="shared" si="0"/>
        <v>842827.96</v>
      </c>
      <c r="F21" s="465">
        <v>383870.38</v>
      </c>
      <c r="G21" s="465">
        <v>234523.34999999998</v>
      </c>
      <c r="H21" s="466">
        <f>F21+G21</f>
        <v>618393.73</v>
      </c>
    </row>
    <row r="22" spans="1:8" ht="15">
      <c r="A22" s="19">
        <v>6</v>
      </c>
      <c r="B22" s="40" t="s">
        <v>179</v>
      </c>
      <c r="C22" s="467">
        <f>C8+C9+C19+C20+C21</f>
        <v>42951871.969999991</v>
      </c>
      <c r="D22" s="467">
        <f>D8+D9+D19+D20+D21</f>
        <v>19074850.220000003</v>
      </c>
      <c r="E22" s="459">
        <f>C22+D22</f>
        <v>62026722.189999998</v>
      </c>
      <c r="F22" s="467">
        <f>F8+F9+F19+F20+F21</f>
        <v>28770117.060000002</v>
      </c>
      <c r="G22" s="467">
        <f>G8+G9+G19+G20+G21</f>
        <v>21733354.52</v>
      </c>
      <c r="H22" s="466">
        <f>F22+G22</f>
        <v>50503471.579999998</v>
      </c>
    </row>
    <row r="23" spans="1:8" ht="15">
      <c r="A23" s="19"/>
      <c r="B23" s="175" t="s">
        <v>178</v>
      </c>
      <c r="C23" s="465"/>
      <c r="D23" s="465"/>
      <c r="E23" s="458"/>
      <c r="F23" s="465"/>
      <c r="G23" s="465"/>
      <c r="H23" s="468"/>
    </row>
    <row r="24" spans="1:8" ht="15">
      <c r="A24" s="19">
        <v>7</v>
      </c>
      <c r="B24" s="38" t="s">
        <v>177</v>
      </c>
      <c r="C24" s="465">
        <v>5586090.4000000004</v>
      </c>
      <c r="D24" s="465">
        <v>875493.01</v>
      </c>
      <c r="E24" s="459">
        <f t="shared" si="0"/>
        <v>6461583.4100000001</v>
      </c>
      <c r="F24" s="465">
        <v>3585430.1399999997</v>
      </c>
      <c r="G24" s="465">
        <v>1748504.8399999999</v>
      </c>
      <c r="H24" s="466">
        <f t="shared" si="1"/>
        <v>5333934.9799999995</v>
      </c>
    </row>
    <row r="25" spans="1:8" ht="15">
      <c r="A25" s="19">
        <v>8</v>
      </c>
      <c r="B25" s="38" t="s">
        <v>176</v>
      </c>
      <c r="C25" s="465">
        <v>8368312.330000001</v>
      </c>
      <c r="D25" s="465">
        <v>3695563.63</v>
      </c>
      <c r="E25" s="459">
        <f t="shared" si="0"/>
        <v>12063875.960000001</v>
      </c>
      <c r="F25" s="465">
        <v>7624705.2299999995</v>
      </c>
      <c r="G25" s="465">
        <v>5000956.22</v>
      </c>
      <c r="H25" s="466">
        <f t="shared" si="1"/>
        <v>12625661.449999999</v>
      </c>
    </row>
    <row r="26" spans="1:8" ht="15">
      <c r="A26" s="19">
        <v>9</v>
      </c>
      <c r="B26" s="38" t="s">
        <v>175</v>
      </c>
      <c r="C26" s="465">
        <v>1702.74</v>
      </c>
      <c r="D26" s="465">
        <v>12572.55</v>
      </c>
      <c r="E26" s="459">
        <f t="shared" si="0"/>
        <v>14275.289999999999</v>
      </c>
      <c r="F26" s="465">
        <v>4730.13</v>
      </c>
      <c r="G26" s="465">
        <v>66537.5</v>
      </c>
      <c r="H26" s="466">
        <f t="shared" si="1"/>
        <v>71267.63</v>
      </c>
    </row>
    <row r="27" spans="1:8" ht="15">
      <c r="A27" s="19">
        <v>10</v>
      </c>
      <c r="B27" s="38" t="s">
        <v>174</v>
      </c>
      <c r="C27" s="465">
        <v>0</v>
      </c>
      <c r="D27" s="465">
        <v>0</v>
      </c>
      <c r="E27" s="459">
        <f t="shared" si="0"/>
        <v>0</v>
      </c>
      <c r="F27" s="465">
        <v>0</v>
      </c>
      <c r="G27" s="465">
        <v>0</v>
      </c>
      <c r="H27" s="466">
        <f t="shared" si="1"/>
        <v>0</v>
      </c>
    </row>
    <row r="28" spans="1:8" ht="15">
      <c r="A28" s="19">
        <v>11</v>
      </c>
      <c r="B28" s="38" t="s">
        <v>173</v>
      </c>
      <c r="C28" s="465">
        <v>11549282.959999999</v>
      </c>
      <c r="D28" s="465">
        <v>3327736.5500000003</v>
      </c>
      <c r="E28" s="459">
        <f t="shared" si="0"/>
        <v>14877019.51</v>
      </c>
      <c r="F28" s="465">
        <v>5155455.9600000009</v>
      </c>
      <c r="G28" s="465">
        <v>3679166.2199999997</v>
      </c>
      <c r="H28" s="466">
        <f t="shared" si="1"/>
        <v>8834622.1799999997</v>
      </c>
    </row>
    <row r="29" spans="1:8" ht="15">
      <c r="A29" s="19">
        <v>12</v>
      </c>
      <c r="B29" s="38" t="s">
        <v>172</v>
      </c>
      <c r="C29" s="465">
        <v>0</v>
      </c>
      <c r="D29" s="465">
        <v>0</v>
      </c>
      <c r="E29" s="459">
        <f t="shared" si="0"/>
        <v>0</v>
      </c>
      <c r="F29" s="465">
        <v>0</v>
      </c>
      <c r="G29" s="465">
        <v>0</v>
      </c>
      <c r="H29" s="466">
        <f t="shared" si="1"/>
        <v>0</v>
      </c>
    </row>
    <row r="30" spans="1:8" ht="15">
      <c r="A30" s="19">
        <v>13</v>
      </c>
      <c r="B30" s="41" t="s">
        <v>171</v>
      </c>
      <c r="C30" s="467">
        <f>SUM(C24:C29)</f>
        <v>25505388.43</v>
      </c>
      <c r="D30" s="467">
        <f>SUM(D24:D29)</f>
        <v>7911365.7400000002</v>
      </c>
      <c r="E30" s="459">
        <f t="shared" si="0"/>
        <v>33416754.170000002</v>
      </c>
      <c r="F30" s="467">
        <f>SUM(F24:F29)</f>
        <v>16370321.460000001</v>
      </c>
      <c r="G30" s="467">
        <f>SUM(G24:G29)</f>
        <v>10495164.779999999</v>
      </c>
      <c r="H30" s="466">
        <f t="shared" si="1"/>
        <v>26865486.240000002</v>
      </c>
    </row>
    <row r="31" spans="1:8" ht="15">
      <c r="A31" s="19">
        <v>14</v>
      </c>
      <c r="B31" s="41" t="s">
        <v>170</v>
      </c>
      <c r="C31" s="467">
        <f>C22-C30</f>
        <v>17446483.539999992</v>
      </c>
      <c r="D31" s="467">
        <f>D22-D30</f>
        <v>11163484.480000002</v>
      </c>
      <c r="E31" s="459">
        <f t="shared" si="0"/>
        <v>28609968.019999996</v>
      </c>
      <c r="F31" s="467">
        <f>F22-F30</f>
        <v>12399795.600000001</v>
      </c>
      <c r="G31" s="467">
        <f>G22-G30</f>
        <v>11238189.74</v>
      </c>
      <c r="H31" s="466">
        <f t="shared" si="1"/>
        <v>23637985.340000004</v>
      </c>
    </row>
    <row r="32" spans="1:8">
      <c r="A32" s="19"/>
      <c r="B32" s="42"/>
      <c r="C32" s="469"/>
      <c r="D32" s="469"/>
      <c r="E32" s="469"/>
      <c r="F32" s="469"/>
      <c r="G32" s="469"/>
      <c r="H32" s="470"/>
    </row>
    <row r="33" spans="1:8" ht="15">
      <c r="A33" s="19"/>
      <c r="B33" s="42" t="s">
        <v>169</v>
      </c>
      <c r="C33" s="465"/>
      <c r="D33" s="465"/>
      <c r="E33" s="458"/>
      <c r="F33" s="465"/>
      <c r="G33" s="465"/>
      <c r="H33" s="468"/>
    </row>
    <row r="34" spans="1:8" ht="15">
      <c r="A34" s="19">
        <v>15</v>
      </c>
      <c r="B34" s="43" t="s">
        <v>168</v>
      </c>
      <c r="C34" s="467">
        <f>C35-C36</f>
        <v>1423888.2199999993</v>
      </c>
      <c r="D34" s="467">
        <f>D35-D36</f>
        <v>410258.25</v>
      </c>
      <c r="E34" s="459">
        <f t="shared" si="0"/>
        <v>1834146.4699999993</v>
      </c>
      <c r="F34" s="467">
        <f>F35-F36</f>
        <v>1164303.4000000008</v>
      </c>
      <c r="G34" s="467">
        <f>G35-G36</f>
        <v>367010.69000000018</v>
      </c>
      <c r="H34" s="466">
        <f t="shared" si="1"/>
        <v>1531314.090000001</v>
      </c>
    </row>
    <row r="35" spans="1:8" ht="15">
      <c r="A35" s="19">
        <v>15.1</v>
      </c>
      <c r="B35" s="39" t="s">
        <v>167</v>
      </c>
      <c r="C35" s="465">
        <v>2639065.4299999992</v>
      </c>
      <c r="D35" s="465">
        <v>1319215.95</v>
      </c>
      <c r="E35" s="459">
        <f t="shared" si="0"/>
        <v>3958281.379999999</v>
      </c>
      <c r="F35" s="465">
        <v>2255423.3000000007</v>
      </c>
      <c r="G35" s="465">
        <v>1318822.0000000002</v>
      </c>
      <c r="H35" s="466">
        <f t="shared" si="1"/>
        <v>3574245.3000000007</v>
      </c>
    </row>
    <row r="36" spans="1:8" ht="15">
      <c r="A36" s="19">
        <v>15.2</v>
      </c>
      <c r="B36" s="39" t="s">
        <v>166</v>
      </c>
      <c r="C36" s="465">
        <v>1215177.21</v>
      </c>
      <c r="D36" s="465">
        <v>908957.7</v>
      </c>
      <c r="E36" s="459">
        <f t="shared" si="0"/>
        <v>2124134.91</v>
      </c>
      <c r="F36" s="465">
        <v>1091119.8999999999</v>
      </c>
      <c r="G36" s="465">
        <v>951811.31</v>
      </c>
      <c r="H36" s="466">
        <f t="shared" si="1"/>
        <v>2042931.21</v>
      </c>
    </row>
    <row r="37" spans="1:8" ht="15">
      <c r="A37" s="19">
        <v>16</v>
      </c>
      <c r="B37" s="38" t="s">
        <v>165</v>
      </c>
      <c r="C37" s="465">
        <v>0</v>
      </c>
      <c r="D37" s="465">
        <v>0</v>
      </c>
      <c r="E37" s="459">
        <f t="shared" si="0"/>
        <v>0</v>
      </c>
      <c r="F37" s="465">
        <v>0</v>
      </c>
      <c r="G37" s="465">
        <v>0</v>
      </c>
      <c r="H37" s="466">
        <f t="shared" si="1"/>
        <v>0</v>
      </c>
    </row>
    <row r="38" spans="1:8" ht="15">
      <c r="A38" s="19">
        <v>17</v>
      </c>
      <c r="B38" s="38" t="s">
        <v>164</v>
      </c>
      <c r="C38" s="465">
        <v>0</v>
      </c>
      <c r="D38" s="465">
        <v>0</v>
      </c>
      <c r="E38" s="459">
        <f t="shared" si="0"/>
        <v>0</v>
      </c>
      <c r="F38" s="465">
        <v>0</v>
      </c>
      <c r="G38" s="465">
        <v>0</v>
      </c>
      <c r="H38" s="466">
        <f t="shared" si="1"/>
        <v>0</v>
      </c>
    </row>
    <row r="39" spans="1:8" ht="15">
      <c r="A39" s="19">
        <v>18</v>
      </c>
      <c r="B39" s="38" t="s">
        <v>163</v>
      </c>
      <c r="C39" s="465">
        <v>0</v>
      </c>
      <c r="D39" s="465">
        <v>0</v>
      </c>
      <c r="E39" s="459">
        <f t="shared" si="0"/>
        <v>0</v>
      </c>
      <c r="F39" s="465">
        <v>0</v>
      </c>
      <c r="G39" s="465">
        <v>0</v>
      </c>
      <c r="H39" s="466">
        <f t="shared" si="1"/>
        <v>0</v>
      </c>
    </row>
    <row r="40" spans="1:8" ht="15">
      <c r="A40" s="19">
        <v>19</v>
      </c>
      <c r="B40" s="38" t="s">
        <v>162</v>
      </c>
      <c r="C40" s="465">
        <v>6316464.04</v>
      </c>
      <c r="D40" s="465">
        <v>0</v>
      </c>
      <c r="E40" s="459">
        <f t="shared" si="0"/>
        <v>6316464.04</v>
      </c>
      <c r="F40" s="465">
        <v>3638531.2700000009</v>
      </c>
      <c r="G40" s="465">
        <v>0</v>
      </c>
      <c r="H40" s="466">
        <f t="shared" si="1"/>
        <v>3638531.2700000009</v>
      </c>
    </row>
    <row r="41" spans="1:8" ht="15">
      <c r="A41" s="19">
        <v>20</v>
      </c>
      <c r="B41" s="38" t="s">
        <v>161</v>
      </c>
      <c r="C41" s="465">
        <v>-6717783.6400000006</v>
      </c>
      <c r="D41" s="465">
        <v>0</v>
      </c>
      <c r="E41" s="459">
        <f t="shared" si="0"/>
        <v>-6717783.6400000006</v>
      </c>
      <c r="F41" s="465">
        <v>-3467428.5600000005</v>
      </c>
      <c r="G41" s="465">
        <v>0</v>
      </c>
      <c r="H41" s="466">
        <f t="shared" si="1"/>
        <v>-3467428.5600000005</v>
      </c>
    </row>
    <row r="42" spans="1:8" ht="15">
      <c r="A42" s="19">
        <v>21</v>
      </c>
      <c r="B42" s="38" t="s">
        <v>160</v>
      </c>
      <c r="C42" s="465">
        <v>-119822.35</v>
      </c>
      <c r="D42" s="465">
        <v>0</v>
      </c>
      <c r="E42" s="459">
        <f t="shared" si="0"/>
        <v>-119822.35</v>
      </c>
      <c r="F42" s="465">
        <v>137205.20000000001</v>
      </c>
      <c r="G42" s="465">
        <v>0</v>
      </c>
      <c r="H42" s="466">
        <f t="shared" si="1"/>
        <v>137205.20000000001</v>
      </c>
    </row>
    <row r="43" spans="1:8" ht="15">
      <c r="A43" s="19">
        <v>22</v>
      </c>
      <c r="B43" s="38" t="s">
        <v>159</v>
      </c>
      <c r="C43" s="465">
        <v>0</v>
      </c>
      <c r="D43" s="465">
        <v>20538.259999999998</v>
      </c>
      <c r="E43" s="459">
        <f t="shared" si="0"/>
        <v>20538.259999999998</v>
      </c>
      <c r="F43" s="465">
        <v>218.4</v>
      </c>
      <c r="G43" s="465">
        <v>3559.6800000000003</v>
      </c>
      <c r="H43" s="466">
        <f t="shared" si="1"/>
        <v>3778.0800000000004</v>
      </c>
    </row>
    <row r="44" spans="1:8" ht="15">
      <c r="A44" s="19">
        <v>23</v>
      </c>
      <c r="B44" s="38" t="s">
        <v>158</v>
      </c>
      <c r="C44" s="465">
        <v>20214.489999999998</v>
      </c>
      <c r="D44" s="465">
        <v>69972.3</v>
      </c>
      <c r="E44" s="459">
        <f t="shared" si="0"/>
        <v>90186.790000000008</v>
      </c>
      <c r="F44" s="465">
        <v>18212.970000000005</v>
      </c>
      <c r="G44" s="465">
        <v>67706.149999999994</v>
      </c>
      <c r="H44" s="466">
        <f t="shared" si="1"/>
        <v>85919.12</v>
      </c>
    </row>
    <row r="45" spans="1:8" ht="15">
      <c r="A45" s="19">
        <v>24</v>
      </c>
      <c r="B45" s="41" t="s">
        <v>273</v>
      </c>
      <c r="C45" s="467">
        <f>C34+C37+C38+C39+C40+C41+C42+C43+C44</f>
        <v>922960.75999999919</v>
      </c>
      <c r="D45" s="467">
        <f>D34+D37+D38+D39+D40+D41+D42+D43+D44</f>
        <v>500768.81</v>
      </c>
      <c r="E45" s="459">
        <f t="shared" si="0"/>
        <v>1423729.5699999991</v>
      </c>
      <c r="F45" s="467">
        <f>F34+F37+F38+F39+F40+F41+F42+F43+F44</f>
        <v>1491042.6800000011</v>
      </c>
      <c r="G45" s="467">
        <f>G34+G37+G38+G39+G40+G41+G42+G43+G44</f>
        <v>438276.52000000014</v>
      </c>
      <c r="H45" s="466">
        <f t="shared" si="1"/>
        <v>1929319.2000000011</v>
      </c>
    </row>
    <row r="46" spans="1:8">
      <c r="A46" s="19"/>
      <c r="B46" s="175" t="s">
        <v>157</v>
      </c>
      <c r="C46" s="465"/>
      <c r="D46" s="465"/>
      <c r="E46" s="465"/>
      <c r="F46" s="465"/>
      <c r="G46" s="465"/>
      <c r="H46" s="471"/>
    </row>
    <row r="47" spans="1:8" ht="15">
      <c r="A47" s="19">
        <v>25</v>
      </c>
      <c r="B47" s="38" t="s">
        <v>156</v>
      </c>
      <c r="C47" s="465">
        <v>554974.12</v>
      </c>
      <c r="D47" s="465">
        <v>228345.94</v>
      </c>
      <c r="E47" s="459">
        <f t="shared" si="0"/>
        <v>783320.06</v>
      </c>
      <c r="F47" s="465">
        <v>403370.13</v>
      </c>
      <c r="G47" s="465">
        <v>254228.71</v>
      </c>
      <c r="H47" s="466">
        <f t="shared" si="1"/>
        <v>657598.84</v>
      </c>
    </row>
    <row r="48" spans="1:8" ht="15">
      <c r="A48" s="19">
        <v>26</v>
      </c>
      <c r="B48" s="38" t="s">
        <v>155</v>
      </c>
      <c r="C48" s="465">
        <v>635594.82999999996</v>
      </c>
      <c r="D48" s="465">
        <v>71797.850000000006</v>
      </c>
      <c r="E48" s="459">
        <f t="shared" si="0"/>
        <v>707392.67999999993</v>
      </c>
      <c r="F48" s="465">
        <v>590307.89999999979</v>
      </c>
      <c r="G48" s="465">
        <v>74311.48</v>
      </c>
      <c r="H48" s="466">
        <f t="shared" si="1"/>
        <v>664619.37999999977</v>
      </c>
    </row>
    <row r="49" spans="1:8" ht="15">
      <c r="A49" s="19">
        <v>27</v>
      </c>
      <c r="B49" s="38" t="s">
        <v>154</v>
      </c>
      <c r="C49" s="465">
        <v>8260855.4800000004</v>
      </c>
      <c r="D49" s="465">
        <v>0</v>
      </c>
      <c r="E49" s="459">
        <f t="shared" si="0"/>
        <v>8260855.4800000004</v>
      </c>
      <c r="F49" s="465">
        <v>6287840.089999998</v>
      </c>
      <c r="G49" s="465">
        <v>0</v>
      </c>
      <c r="H49" s="466">
        <f t="shared" si="1"/>
        <v>6287840.089999998</v>
      </c>
    </row>
    <row r="50" spans="1:8" ht="15">
      <c r="A50" s="19">
        <v>28</v>
      </c>
      <c r="B50" s="38" t="s">
        <v>153</v>
      </c>
      <c r="C50" s="465">
        <v>0</v>
      </c>
      <c r="D50" s="465">
        <v>0</v>
      </c>
      <c r="E50" s="459">
        <f t="shared" si="0"/>
        <v>0</v>
      </c>
      <c r="F50" s="465">
        <v>0</v>
      </c>
      <c r="G50" s="465">
        <v>0</v>
      </c>
      <c r="H50" s="466">
        <f t="shared" si="1"/>
        <v>0</v>
      </c>
    </row>
    <row r="51" spans="1:8" ht="15">
      <c r="A51" s="19">
        <v>29</v>
      </c>
      <c r="B51" s="38" t="s">
        <v>152</v>
      </c>
      <c r="C51" s="465">
        <v>2732952.15</v>
      </c>
      <c r="D51" s="465">
        <v>0</v>
      </c>
      <c r="E51" s="459">
        <f t="shared" si="0"/>
        <v>2732952.15</v>
      </c>
      <c r="F51" s="465">
        <v>2515449.87</v>
      </c>
      <c r="G51" s="465">
        <v>0</v>
      </c>
      <c r="H51" s="466">
        <f t="shared" si="1"/>
        <v>2515449.87</v>
      </c>
    </row>
    <row r="52" spans="1:8" ht="15">
      <c r="A52" s="19">
        <v>30</v>
      </c>
      <c r="B52" s="38" t="s">
        <v>151</v>
      </c>
      <c r="C52" s="465">
        <v>3481396.0900000017</v>
      </c>
      <c r="D52" s="465">
        <v>6351.94</v>
      </c>
      <c r="E52" s="459">
        <f t="shared" si="0"/>
        <v>3487748.0300000017</v>
      </c>
      <c r="F52" s="465">
        <v>3992001.0199999996</v>
      </c>
      <c r="G52" s="465">
        <v>8582.43</v>
      </c>
      <c r="H52" s="466">
        <f t="shared" si="1"/>
        <v>4000583.4499999997</v>
      </c>
    </row>
    <row r="53" spans="1:8" ht="15">
      <c r="A53" s="19">
        <v>31</v>
      </c>
      <c r="B53" s="41" t="s">
        <v>274</v>
      </c>
      <c r="C53" s="467">
        <f>C47+C48+C49+C50+C51+C52</f>
        <v>15665772.670000002</v>
      </c>
      <c r="D53" s="467">
        <f>D47+D48+D49+D50+D51+D52</f>
        <v>306495.73000000004</v>
      </c>
      <c r="E53" s="459">
        <f t="shared" si="0"/>
        <v>15972268.400000002</v>
      </c>
      <c r="F53" s="467">
        <f>F47+F48+F49+F50+F51+F52</f>
        <v>13788969.009999998</v>
      </c>
      <c r="G53" s="467">
        <f>G47+G48+G49+G50+G51+G52</f>
        <v>337122.62</v>
      </c>
      <c r="H53" s="466">
        <f t="shared" si="1"/>
        <v>14126091.629999997</v>
      </c>
    </row>
    <row r="54" spans="1:8" ht="15">
      <c r="A54" s="19">
        <v>32</v>
      </c>
      <c r="B54" s="41" t="s">
        <v>275</v>
      </c>
      <c r="C54" s="467">
        <f>C45-C53</f>
        <v>-14742811.910000002</v>
      </c>
      <c r="D54" s="467">
        <f>D45-D53</f>
        <v>194273.07999999996</v>
      </c>
      <c r="E54" s="459">
        <f t="shared" si="0"/>
        <v>-14548538.830000002</v>
      </c>
      <c r="F54" s="467">
        <f>F45-F53</f>
        <v>-12297926.329999996</v>
      </c>
      <c r="G54" s="467">
        <f>G45-G53</f>
        <v>101153.90000000014</v>
      </c>
      <c r="H54" s="466">
        <f t="shared" si="1"/>
        <v>-12196772.429999996</v>
      </c>
    </row>
    <row r="55" spans="1:8">
      <c r="A55" s="19"/>
      <c r="B55" s="42"/>
      <c r="C55" s="469"/>
      <c r="D55" s="469"/>
      <c r="E55" s="469"/>
      <c r="F55" s="469"/>
      <c r="G55" s="469"/>
      <c r="H55" s="470"/>
    </row>
    <row r="56" spans="1:8" ht="15">
      <c r="A56" s="19">
        <v>33</v>
      </c>
      <c r="B56" s="41" t="s">
        <v>150</v>
      </c>
      <c r="C56" s="467">
        <f>C31+C54</f>
        <v>2703671.6299999896</v>
      </c>
      <c r="D56" s="467">
        <f>D31+D54</f>
        <v>11357757.560000002</v>
      </c>
      <c r="E56" s="459">
        <f t="shared" si="0"/>
        <v>14061429.189999992</v>
      </c>
      <c r="F56" s="467">
        <f>F31+F54</f>
        <v>101869.27000000514</v>
      </c>
      <c r="G56" s="467">
        <f>G31+G54</f>
        <v>11339343.640000001</v>
      </c>
      <c r="H56" s="466">
        <f t="shared" si="1"/>
        <v>11441212.910000006</v>
      </c>
    </row>
    <row r="57" spans="1:8">
      <c r="A57" s="19"/>
      <c r="B57" s="42"/>
      <c r="C57" s="469"/>
      <c r="D57" s="469"/>
      <c r="E57" s="469"/>
      <c r="F57" s="469"/>
      <c r="G57" s="469"/>
      <c r="H57" s="470"/>
    </row>
    <row r="58" spans="1:8" ht="15">
      <c r="A58" s="19">
        <v>34</v>
      </c>
      <c r="B58" s="38" t="s">
        <v>149</v>
      </c>
      <c r="C58" s="465">
        <v>-1813925.0599999994</v>
      </c>
      <c r="D58" s="465" t="s">
        <v>770</v>
      </c>
      <c r="E58" s="472">
        <f>C58</f>
        <v>-1813925.0599999994</v>
      </c>
      <c r="F58" s="465">
        <v>-798756.65</v>
      </c>
      <c r="G58" s="465" t="s">
        <v>770</v>
      </c>
      <c r="H58" s="473">
        <f>F58</f>
        <v>-798756.65</v>
      </c>
    </row>
    <row r="59" spans="1:8" s="176" customFormat="1" ht="15">
      <c r="A59" s="19">
        <v>35</v>
      </c>
      <c r="B59" s="38" t="s">
        <v>148</v>
      </c>
      <c r="C59" s="465">
        <v>0</v>
      </c>
      <c r="D59" s="465" t="s">
        <v>770</v>
      </c>
      <c r="E59" s="472">
        <f>C59</f>
        <v>0</v>
      </c>
      <c r="F59" s="465">
        <v>0</v>
      </c>
      <c r="G59" s="465" t="s">
        <v>770</v>
      </c>
      <c r="H59" s="473">
        <f>F59</f>
        <v>0</v>
      </c>
    </row>
    <row r="60" spans="1:8" ht="15">
      <c r="A60" s="19">
        <v>36</v>
      </c>
      <c r="B60" s="38" t="s">
        <v>147</v>
      </c>
      <c r="C60" s="465">
        <v>598738.86999999988</v>
      </c>
      <c r="D60" s="465" t="s">
        <v>770</v>
      </c>
      <c r="E60" s="472">
        <f>C60</f>
        <v>598738.86999999988</v>
      </c>
      <c r="F60" s="465">
        <v>-2792381.38</v>
      </c>
      <c r="G60" s="465" t="s">
        <v>770</v>
      </c>
      <c r="H60" s="473">
        <f>F60</f>
        <v>-2792381.38</v>
      </c>
    </row>
    <row r="61" spans="1:8" ht="15">
      <c r="A61" s="19">
        <v>37</v>
      </c>
      <c r="B61" s="41" t="s">
        <v>146</v>
      </c>
      <c r="C61" s="467">
        <f>C58+C59+C60</f>
        <v>-1215186.1899999995</v>
      </c>
      <c r="D61" s="467">
        <v>0</v>
      </c>
      <c r="E61" s="472">
        <f>C61</f>
        <v>-1215186.1899999995</v>
      </c>
      <c r="F61" s="467">
        <f>F58+F59+F60</f>
        <v>-3591138.03</v>
      </c>
      <c r="G61" s="474">
        <v>0</v>
      </c>
      <c r="H61" s="473">
        <f t="shared" ref="H61" si="2">F61+G61</f>
        <v>-3591138.03</v>
      </c>
    </row>
    <row r="62" spans="1:8">
      <c r="A62" s="19"/>
      <c r="B62" s="44"/>
      <c r="C62" s="465"/>
      <c r="D62" s="465"/>
      <c r="E62" s="465"/>
      <c r="F62" s="465"/>
      <c r="G62" s="465"/>
      <c r="H62" s="471"/>
    </row>
    <row r="63" spans="1:8" ht="15">
      <c r="A63" s="19">
        <v>38</v>
      </c>
      <c r="B63" s="45" t="s">
        <v>145</v>
      </c>
      <c r="C63" s="467">
        <f>C56-C61</f>
        <v>3918857.8199999891</v>
      </c>
      <c r="D63" s="467">
        <f>D56-D61</f>
        <v>11357757.560000002</v>
      </c>
      <c r="E63" s="459">
        <f t="shared" si="0"/>
        <v>15276615.379999992</v>
      </c>
      <c r="F63" s="467">
        <f>F56-F61</f>
        <v>3693007.3000000049</v>
      </c>
      <c r="G63" s="467">
        <f>G56-G61</f>
        <v>11339343.640000001</v>
      </c>
      <c r="H63" s="466">
        <f t="shared" si="1"/>
        <v>15032350.940000005</v>
      </c>
    </row>
    <row r="64" spans="1:8" ht="15">
      <c r="A64" s="34">
        <v>39</v>
      </c>
      <c r="B64" s="38" t="s">
        <v>144</v>
      </c>
      <c r="C64" s="465">
        <v>0</v>
      </c>
      <c r="D64" s="465">
        <v>0</v>
      </c>
      <c r="E64" s="459">
        <f t="shared" si="0"/>
        <v>0</v>
      </c>
      <c r="F64" s="465">
        <v>0</v>
      </c>
      <c r="G64" s="465">
        <v>0</v>
      </c>
      <c r="H64" s="466">
        <f t="shared" si="1"/>
        <v>0</v>
      </c>
    </row>
    <row r="65" spans="1:8" ht="15">
      <c r="A65" s="19">
        <v>40</v>
      </c>
      <c r="B65" s="41" t="s">
        <v>143</v>
      </c>
      <c r="C65" s="467">
        <f>C63-C64</f>
        <v>3918857.8199999891</v>
      </c>
      <c r="D65" s="467">
        <f>D63-D64</f>
        <v>11357757.560000002</v>
      </c>
      <c r="E65" s="459">
        <f t="shared" si="0"/>
        <v>15276615.379999992</v>
      </c>
      <c r="F65" s="467">
        <f>F63-F64</f>
        <v>3693007.3000000049</v>
      </c>
      <c r="G65" s="467">
        <f>G63-G64</f>
        <v>11339343.640000001</v>
      </c>
      <c r="H65" s="466">
        <f t="shared" si="1"/>
        <v>15032350.940000005</v>
      </c>
    </row>
    <row r="66" spans="1:8" ht="15">
      <c r="A66" s="34">
        <v>41</v>
      </c>
      <c r="B66" s="38" t="s">
        <v>142</v>
      </c>
      <c r="C66" s="465">
        <v>0</v>
      </c>
      <c r="D66" s="465">
        <v>0</v>
      </c>
      <c r="E66" s="459">
        <f t="shared" si="0"/>
        <v>0</v>
      </c>
      <c r="F66" s="465">
        <v>0</v>
      </c>
      <c r="G66" s="465">
        <v>0</v>
      </c>
      <c r="H66" s="466">
        <f t="shared" si="1"/>
        <v>0</v>
      </c>
    </row>
    <row r="67" spans="1:8" ht="15.75" thickBot="1">
      <c r="A67" s="46">
        <v>42</v>
      </c>
      <c r="B67" s="47" t="s">
        <v>141</v>
      </c>
      <c r="C67" s="475">
        <f>C65+C66</f>
        <v>3918857.8199999891</v>
      </c>
      <c r="D67" s="475">
        <f>D65+D66</f>
        <v>11357757.560000002</v>
      </c>
      <c r="E67" s="463">
        <f t="shared" si="0"/>
        <v>15276615.379999992</v>
      </c>
      <c r="F67" s="475">
        <f>F65+F66</f>
        <v>3693007.3000000049</v>
      </c>
      <c r="G67" s="475">
        <f>G65+G66</f>
        <v>11339343.640000001</v>
      </c>
      <c r="H67" s="476">
        <f t="shared" si="1"/>
        <v>15032350.940000005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F8" sqref="F8"/>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Terabank</v>
      </c>
    </row>
    <row r="2" spans="1:8">
      <c r="A2" s="2" t="s">
        <v>31</v>
      </c>
      <c r="B2" s="339">
        <f>'1. key ratios '!B2</f>
        <v>44742</v>
      </c>
    </row>
    <row r="3" spans="1:8">
      <c r="A3" s="4"/>
    </row>
    <row r="4" spans="1:8" ht="15" thickBot="1">
      <c r="A4" s="4" t="s">
        <v>74</v>
      </c>
      <c r="B4" s="4"/>
      <c r="C4" s="159"/>
      <c r="D4" s="159"/>
      <c r="E4" s="159"/>
      <c r="F4" s="159"/>
      <c r="G4" s="159"/>
      <c r="H4" s="160" t="s">
        <v>73</v>
      </c>
    </row>
    <row r="5" spans="1:8">
      <c r="A5" s="633" t="s">
        <v>6</v>
      </c>
      <c r="B5" s="635" t="s">
        <v>340</v>
      </c>
      <c r="C5" s="629" t="s">
        <v>68</v>
      </c>
      <c r="D5" s="630"/>
      <c r="E5" s="631"/>
      <c r="F5" s="629" t="s">
        <v>72</v>
      </c>
      <c r="G5" s="630"/>
      <c r="H5" s="632"/>
    </row>
    <row r="6" spans="1:8">
      <c r="A6" s="634"/>
      <c r="B6" s="636"/>
      <c r="C6" s="21" t="s">
        <v>287</v>
      </c>
      <c r="D6" s="21" t="s">
        <v>122</v>
      </c>
      <c r="E6" s="21" t="s">
        <v>109</v>
      </c>
      <c r="F6" s="21" t="s">
        <v>287</v>
      </c>
      <c r="G6" s="21" t="s">
        <v>122</v>
      </c>
      <c r="H6" s="22" t="s">
        <v>109</v>
      </c>
    </row>
    <row r="7" spans="1:8" ht="15.75">
      <c r="A7" s="74">
        <v>1</v>
      </c>
      <c r="B7" s="161" t="s">
        <v>374</v>
      </c>
      <c r="C7" s="477">
        <v>66330584.339999989</v>
      </c>
      <c r="D7" s="477">
        <v>33634052.32</v>
      </c>
      <c r="E7" s="478">
        <f>C7+D7</f>
        <v>99964636.659999996</v>
      </c>
      <c r="F7" s="477">
        <v>46423101.88000001</v>
      </c>
      <c r="G7" s="477">
        <v>28080025.450000003</v>
      </c>
      <c r="H7" s="460">
        <f t="shared" ref="H7:H53" si="0">F7+G7</f>
        <v>74503127.330000013</v>
      </c>
    </row>
    <row r="8" spans="1:8" ht="15.75">
      <c r="A8" s="74">
        <v>1.1000000000000001</v>
      </c>
      <c r="B8" s="201" t="s">
        <v>305</v>
      </c>
      <c r="C8" s="477">
        <v>46348802.799999997</v>
      </c>
      <c r="D8" s="477">
        <v>16179875.080000002</v>
      </c>
      <c r="E8" s="478">
        <f t="shared" ref="E8:E53" si="1">C8+D8</f>
        <v>62528677.879999995</v>
      </c>
      <c r="F8" s="477">
        <v>31626030.359999999</v>
      </c>
      <c r="G8" s="477">
        <v>20684337.280000001</v>
      </c>
      <c r="H8" s="460">
        <f t="shared" si="0"/>
        <v>52310367.640000001</v>
      </c>
    </row>
    <row r="9" spans="1:8" ht="15.75">
      <c r="A9" s="74">
        <v>1.2</v>
      </c>
      <c r="B9" s="201" t="s">
        <v>306</v>
      </c>
      <c r="C9" s="477">
        <v>0</v>
      </c>
      <c r="D9" s="477">
        <v>2885853.88</v>
      </c>
      <c r="E9" s="478">
        <f t="shared" si="1"/>
        <v>2885853.88</v>
      </c>
      <c r="F9" s="477">
        <v>0</v>
      </c>
      <c r="G9" s="477">
        <v>0</v>
      </c>
      <c r="H9" s="460">
        <f t="shared" si="0"/>
        <v>0</v>
      </c>
    </row>
    <row r="10" spans="1:8" ht="15.75">
      <c r="A10" s="74">
        <v>1.3</v>
      </c>
      <c r="B10" s="201" t="s">
        <v>307</v>
      </c>
      <c r="C10" s="477">
        <v>19981781.539999992</v>
      </c>
      <c r="D10" s="477">
        <v>11682469.48</v>
      </c>
      <c r="E10" s="478">
        <f t="shared" si="1"/>
        <v>31664251.019999992</v>
      </c>
      <c r="F10" s="477">
        <v>14797071.520000011</v>
      </c>
      <c r="G10" s="477">
        <v>7395688.1699999999</v>
      </c>
      <c r="H10" s="460">
        <f t="shared" si="0"/>
        <v>22192759.690000013</v>
      </c>
    </row>
    <row r="11" spans="1:8" ht="15.75">
      <c r="A11" s="74">
        <v>1.4</v>
      </c>
      <c r="B11" s="201" t="s">
        <v>288</v>
      </c>
      <c r="C11" s="477">
        <v>0</v>
      </c>
      <c r="D11" s="477">
        <v>2885853.88</v>
      </c>
      <c r="E11" s="478">
        <f t="shared" si="1"/>
        <v>2885853.88</v>
      </c>
      <c r="F11" s="477">
        <v>0</v>
      </c>
      <c r="G11" s="477">
        <v>0</v>
      </c>
      <c r="H11" s="460">
        <f t="shared" si="0"/>
        <v>0</v>
      </c>
    </row>
    <row r="12" spans="1:8" ht="29.25" customHeight="1">
      <c r="A12" s="74">
        <v>2</v>
      </c>
      <c r="B12" s="163" t="s">
        <v>309</v>
      </c>
      <c r="C12" s="477">
        <v>0</v>
      </c>
      <c r="D12" s="477">
        <v>2885853.88</v>
      </c>
      <c r="E12" s="478">
        <f t="shared" si="1"/>
        <v>2885853.88</v>
      </c>
      <c r="F12" s="477">
        <v>0</v>
      </c>
      <c r="G12" s="477">
        <v>0</v>
      </c>
      <c r="H12" s="460">
        <f t="shared" si="0"/>
        <v>0</v>
      </c>
    </row>
    <row r="13" spans="1:8" ht="19.899999999999999" customHeight="1">
      <c r="A13" s="74">
        <v>3</v>
      </c>
      <c r="B13" s="163" t="s">
        <v>308</v>
      </c>
      <c r="C13" s="477">
        <v>184521000</v>
      </c>
      <c r="D13" s="477">
        <v>0</v>
      </c>
      <c r="E13" s="478">
        <f t="shared" si="1"/>
        <v>184521000</v>
      </c>
      <c r="F13" s="477">
        <v>130712000</v>
      </c>
      <c r="G13" s="477">
        <v>0</v>
      </c>
      <c r="H13" s="460">
        <f t="shared" si="0"/>
        <v>130712000</v>
      </c>
    </row>
    <row r="14" spans="1:8" ht="15.75">
      <c r="A14" s="74">
        <v>3.1</v>
      </c>
      <c r="B14" s="202" t="s">
        <v>289</v>
      </c>
      <c r="C14" s="477">
        <v>184521000</v>
      </c>
      <c r="D14" s="477">
        <v>0</v>
      </c>
      <c r="E14" s="478">
        <f t="shared" si="1"/>
        <v>184521000</v>
      </c>
      <c r="F14" s="477">
        <v>130712000</v>
      </c>
      <c r="G14" s="477">
        <v>0</v>
      </c>
      <c r="H14" s="460">
        <f t="shared" si="0"/>
        <v>130712000</v>
      </c>
    </row>
    <row r="15" spans="1:8" ht="15.75">
      <c r="A15" s="74">
        <v>3.2</v>
      </c>
      <c r="B15" s="202" t="s">
        <v>290</v>
      </c>
      <c r="C15" s="477">
        <v>0</v>
      </c>
      <c r="D15" s="477">
        <v>0</v>
      </c>
      <c r="E15" s="478">
        <f t="shared" si="1"/>
        <v>0</v>
      </c>
      <c r="F15" s="477">
        <v>0</v>
      </c>
      <c r="G15" s="477">
        <v>0</v>
      </c>
      <c r="H15" s="460">
        <f t="shared" si="0"/>
        <v>0</v>
      </c>
    </row>
    <row r="16" spans="1:8" ht="15.75">
      <c r="A16" s="74">
        <v>4</v>
      </c>
      <c r="B16" s="205" t="s">
        <v>319</v>
      </c>
      <c r="C16" s="477">
        <v>274185446.53000045</v>
      </c>
      <c r="D16" s="477">
        <v>392691830.94000012</v>
      </c>
      <c r="E16" s="478">
        <f t="shared" si="1"/>
        <v>666877277.47000051</v>
      </c>
      <c r="F16" s="477">
        <v>243086808.32000014</v>
      </c>
      <c r="G16" s="477">
        <v>424365799.97000009</v>
      </c>
      <c r="H16" s="460">
        <f t="shared" si="0"/>
        <v>667452608.2900002</v>
      </c>
    </row>
    <row r="17" spans="1:8" ht="15.75">
      <c r="A17" s="74">
        <v>4.0999999999999996</v>
      </c>
      <c r="B17" s="202" t="s">
        <v>310</v>
      </c>
      <c r="C17" s="477">
        <v>256579193.27000046</v>
      </c>
      <c r="D17" s="477">
        <v>392691830.94000012</v>
      </c>
      <c r="E17" s="478">
        <f t="shared" si="1"/>
        <v>649271024.21000051</v>
      </c>
      <c r="F17" s="477">
        <v>237655870.44800013</v>
      </c>
      <c r="G17" s="477">
        <v>424365799.97000009</v>
      </c>
      <c r="H17" s="460">
        <f t="shared" si="0"/>
        <v>662021670.41800022</v>
      </c>
    </row>
    <row r="18" spans="1:8" ht="15.75">
      <c r="A18" s="74">
        <v>4.2</v>
      </c>
      <c r="B18" s="202" t="s">
        <v>304</v>
      </c>
      <c r="C18" s="477">
        <v>17606253.259999998</v>
      </c>
      <c r="D18" s="477">
        <v>0</v>
      </c>
      <c r="E18" s="478">
        <f t="shared" si="1"/>
        <v>17606253.259999998</v>
      </c>
      <c r="F18" s="477">
        <v>5430937.8719999995</v>
      </c>
      <c r="G18" s="477">
        <v>0</v>
      </c>
      <c r="H18" s="460">
        <f t="shared" si="0"/>
        <v>5430937.8719999995</v>
      </c>
    </row>
    <row r="19" spans="1:8" ht="15.75">
      <c r="A19" s="74">
        <v>5</v>
      </c>
      <c r="B19" s="163" t="s">
        <v>318</v>
      </c>
      <c r="C19" s="477">
        <v>992173946.02999949</v>
      </c>
      <c r="D19" s="477">
        <v>1013067202.6099999</v>
      </c>
      <c r="E19" s="478">
        <f t="shared" si="1"/>
        <v>2005241148.6399994</v>
      </c>
      <c r="F19" s="477">
        <v>830910328.93000054</v>
      </c>
      <c r="G19" s="477">
        <v>1019891280.5800003</v>
      </c>
      <c r="H19" s="460">
        <f t="shared" si="0"/>
        <v>1850801609.5100007</v>
      </c>
    </row>
    <row r="20" spans="1:8" ht="15.75">
      <c r="A20" s="74">
        <v>5.0999999999999996</v>
      </c>
      <c r="B20" s="203" t="s">
        <v>293</v>
      </c>
      <c r="C20" s="477">
        <v>24989212.720000003</v>
      </c>
      <c r="D20" s="477">
        <v>27627339.810000002</v>
      </c>
      <c r="E20" s="478">
        <f t="shared" si="1"/>
        <v>52616552.530000001</v>
      </c>
      <c r="F20" s="477">
        <v>25708481.800000008</v>
      </c>
      <c r="G20" s="477">
        <v>35918284.509999998</v>
      </c>
      <c r="H20" s="460">
        <f t="shared" si="0"/>
        <v>61626766.310000002</v>
      </c>
    </row>
    <row r="21" spans="1:8" ht="15.75">
      <c r="A21" s="74">
        <v>5.2</v>
      </c>
      <c r="B21" s="203" t="s">
        <v>292</v>
      </c>
      <c r="C21" s="477">
        <v>33025876.509999998</v>
      </c>
      <c r="D21" s="477">
        <v>2648134.8600000003</v>
      </c>
      <c r="E21" s="478">
        <f t="shared" si="1"/>
        <v>35674011.369999997</v>
      </c>
      <c r="F21" s="477">
        <v>12117406.920000002</v>
      </c>
      <c r="G21" s="477">
        <v>5349022.9999999991</v>
      </c>
      <c r="H21" s="460">
        <f t="shared" si="0"/>
        <v>17466429.920000002</v>
      </c>
    </row>
    <row r="22" spans="1:8" ht="15.75">
      <c r="A22" s="74">
        <v>5.3</v>
      </c>
      <c r="B22" s="203" t="s">
        <v>291</v>
      </c>
      <c r="C22" s="477">
        <v>795168497.74999952</v>
      </c>
      <c r="D22" s="477">
        <v>958810144.88999999</v>
      </c>
      <c r="E22" s="478">
        <f t="shared" si="1"/>
        <v>1753978642.6399994</v>
      </c>
      <c r="F22" s="477">
        <v>698032857.01000059</v>
      </c>
      <c r="G22" s="477">
        <v>955990726.27000034</v>
      </c>
      <c r="H22" s="460">
        <f t="shared" si="0"/>
        <v>1654023583.2800009</v>
      </c>
    </row>
    <row r="23" spans="1:8" ht="15.75">
      <c r="A23" s="74" t="s">
        <v>15</v>
      </c>
      <c r="B23" s="164" t="s">
        <v>75</v>
      </c>
      <c r="C23" s="477">
        <v>393307770.71999973</v>
      </c>
      <c r="D23" s="477">
        <v>349335534.63999987</v>
      </c>
      <c r="E23" s="478">
        <f t="shared" si="1"/>
        <v>742643305.35999966</v>
      </c>
      <c r="F23" s="477">
        <v>409168755.19000012</v>
      </c>
      <c r="G23" s="477">
        <v>360396492.45000029</v>
      </c>
      <c r="H23" s="460">
        <f t="shared" si="0"/>
        <v>769565247.64000034</v>
      </c>
    </row>
    <row r="24" spans="1:8" ht="15.75">
      <c r="A24" s="74" t="s">
        <v>16</v>
      </c>
      <c r="B24" s="164" t="s">
        <v>76</v>
      </c>
      <c r="C24" s="477">
        <v>198925167.56999981</v>
      </c>
      <c r="D24" s="477">
        <v>341326488.02999997</v>
      </c>
      <c r="E24" s="478">
        <f t="shared" si="1"/>
        <v>540251655.59999979</v>
      </c>
      <c r="F24" s="477">
        <v>170579199.46000043</v>
      </c>
      <c r="G24" s="477">
        <v>352795256</v>
      </c>
      <c r="H24" s="460">
        <f t="shared" si="0"/>
        <v>523374455.4600004</v>
      </c>
    </row>
    <row r="25" spans="1:8" ht="15.75">
      <c r="A25" s="74" t="s">
        <v>17</v>
      </c>
      <c r="B25" s="164" t="s">
        <v>77</v>
      </c>
      <c r="C25" s="477">
        <v>24533762.420000002</v>
      </c>
      <c r="D25" s="477">
        <v>41466032.110000007</v>
      </c>
      <c r="E25" s="478">
        <f t="shared" si="1"/>
        <v>65999794.530000009</v>
      </c>
      <c r="F25" s="477">
        <v>16034403.090000002</v>
      </c>
      <c r="G25" s="477">
        <v>37741245.860000014</v>
      </c>
      <c r="H25" s="460">
        <f t="shared" si="0"/>
        <v>53775648.950000018</v>
      </c>
    </row>
    <row r="26" spans="1:8" ht="15.75">
      <c r="A26" s="74" t="s">
        <v>18</v>
      </c>
      <c r="B26" s="164" t="s">
        <v>78</v>
      </c>
      <c r="C26" s="477">
        <v>116219646.76000015</v>
      </c>
      <c r="D26" s="477">
        <v>120511033.29000005</v>
      </c>
      <c r="E26" s="478">
        <f t="shared" si="1"/>
        <v>236730680.05000019</v>
      </c>
      <c r="F26" s="477">
        <v>81834849.219999924</v>
      </c>
      <c r="G26" s="477">
        <v>99798512.519999996</v>
      </c>
      <c r="H26" s="460">
        <f t="shared" si="0"/>
        <v>181633361.73999992</v>
      </c>
    </row>
    <row r="27" spans="1:8" ht="15.75">
      <c r="A27" s="74" t="s">
        <v>19</v>
      </c>
      <c r="B27" s="164" t="s">
        <v>79</v>
      </c>
      <c r="C27" s="477">
        <v>62182150.279999986</v>
      </c>
      <c r="D27" s="477">
        <v>106171056.82000002</v>
      </c>
      <c r="E27" s="478">
        <f t="shared" si="1"/>
        <v>168353207.10000002</v>
      </c>
      <c r="F27" s="477">
        <v>20415650.050000023</v>
      </c>
      <c r="G27" s="477">
        <v>105259219.44000007</v>
      </c>
      <c r="H27" s="460">
        <f t="shared" si="0"/>
        <v>125674869.4900001</v>
      </c>
    </row>
    <row r="28" spans="1:8" ht="15.75">
      <c r="A28" s="74">
        <v>5.4</v>
      </c>
      <c r="B28" s="203" t="s">
        <v>294</v>
      </c>
      <c r="C28" s="477">
        <v>54217119.909999989</v>
      </c>
      <c r="D28" s="477">
        <v>13789102.1</v>
      </c>
      <c r="E28" s="478">
        <f t="shared" si="1"/>
        <v>68006222.00999999</v>
      </c>
      <c r="F28" s="477">
        <v>20009772.599999998</v>
      </c>
      <c r="G28" s="477">
        <v>11572088.489999995</v>
      </c>
      <c r="H28" s="460">
        <f t="shared" si="0"/>
        <v>31581861.089999992</v>
      </c>
    </row>
    <row r="29" spans="1:8" ht="15.75">
      <c r="A29" s="74">
        <v>5.5</v>
      </c>
      <c r="B29" s="203" t="s">
        <v>295</v>
      </c>
      <c r="C29" s="477">
        <v>0</v>
      </c>
      <c r="D29" s="477">
        <v>0</v>
      </c>
      <c r="E29" s="478">
        <f t="shared" si="1"/>
        <v>0</v>
      </c>
      <c r="F29" s="477">
        <v>0</v>
      </c>
      <c r="G29" s="477">
        <v>0</v>
      </c>
      <c r="H29" s="460">
        <f t="shared" si="0"/>
        <v>0</v>
      </c>
    </row>
    <row r="30" spans="1:8" ht="15.75">
      <c r="A30" s="74">
        <v>5.6</v>
      </c>
      <c r="B30" s="203" t="s">
        <v>296</v>
      </c>
      <c r="C30" s="477">
        <v>0</v>
      </c>
      <c r="D30" s="477">
        <v>0</v>
      </c>
      <c r="E30" s="478">
        <f t="shared" si="1"/>
        <v>0</v>
      </c>
      <c r="F30" s="477">
        <v>0</v>
      </c>
      <c r="G30" s="477">
        <v>0</v>
      </c>
      <c r="H30" s="460">
        <f t="shared" si="0"/>
        <v>0</v>
      </c>
    </row>
    <row r="31" spans="1:8" ht="15.75">
      <c r="A31" s="74">
        <v>5.7</v>
      </c>
      <c r="B31" s="203" t="s">
        <v>79</v>
      </c>
      <c r="C31" s="477">
        <v>84773239.14000003</v>
      </c>
      <c r="D31" s="477">
        <v>10192480.950000005</v>
      </c>
      <c r="E31" s="478">
        <f t="shared" si="1"/>
        <v>94965720.090000033</v>
      </c>
      <c r="F31" s="477">
        <v>75041810.59999992</v>
      </c>
      <c r="G31" s="477">
        <v>11061158.310000004</v>
      </c>
      <c r="H31" s="460">
        <f t="shared" si="0"/>
        <v>86102968.909999922</v>
      </c>
    </row>
    <row r="32" spans="1:8" ht="15.75">
      <c r="A32" s="74">
        <v>6</v>
      </c>
      <c r="B32" s="163" t="s">
        <v>324</v>
      </c>
      <c r="C32" s="477">
        <v>28465774.949999999</v>
      </c>
      <c r="D32" s="477">
        <v>103330096.56999999</v>
      </c>
      <c r="E32" s="478">
        <f t="shared" si="1"/>
        <v>131795871.52</v>
      </c>
      <c r="F32" s="477">
        <v>13140160</v>
      </c>
      <c r="G32" s="477">
        <v>121332544.46000001</v>
      </c>
      <c r="H32" s="460">
        <f t="shared" si="0"/>
        <v>134472704.46000001</v>
      </c>
    </row>
    <row r="33" spans="1:8" ht="15.75">
      <c r="A33" s="74">
        <v>6.1</v>
      </c>
      <c r="B33" s="204" t="s">
        <v>314</v>
      </c>
      <c r="C33" s="477">
        <v>28465774.949999999</v>
      </c>
      <c r="D33" s="477">
        <v>37662096.850000001</v>
      </c>
      <c r="E33" s="478">
        <f t="shared" si="1"/>
        <v>66127871.799999997</v>
      </c>
      <c r="F33" s="477">
        <v>13140160</v>
      </c>
      <c r="G33" s="477">
        <v>54293163.93</v>
      </c>
      <c r="H33" s="460">
        <f t="shared" si="0"/>
        <v>67433323.930000007</v>
      </c>
    </row>
    <row r="34" spans="1:8" ht="15.75">
      <c r="A34" s="74">
        <v>6.2</v>
      </c>
      <c r="B34" s="204" t="s">
        <v>315</v>
      </c>
      <c r="C34" s="477">
        <v>0</v>
      </c>
      <c r="D34" s="477">
        <v>65667999.719999999</v>
      </c>
      <c r="E34" s="478">
        <f t="shared" si="1"/>
        <v>65667999.719999999</v>
      </c>
      <c r="F34" s="477">
        <v>0</v>
      </c>
      <c r="G34" s="477">
        <v>67039380.530000001</v>
      </c>
      <c r="H34" s="460">
        <f t="shared" si="0"/>
        <v>67039380.530000001</v>
      </c>
    </row>
    <row r="35" spans="1:8" ht="15.75">
      <c r="A35" s="74">
        <v>6.3</v>
      </c>
      <c r="B35" s="204" t="s">
        <v>311</v>
      </c>
      <c r="C35" s="477">
        <v>0</v>
      </c>
      <c r="D35" s="477">
        <v>0</v>
      </c>
      <c r="E35" s="478">
        <f t="shared" si="1"/>
        <v>0</v>
      </c>
      <c r="F35" s="477">
        <v>0</v>
      </c>
      <c r="G35" s="477">
        <v>0</v>
      </c>
      <c r="H35" s="460">
        <f t="shared" si="0"/>
        <v>0</v>
      </c>
    </row>
    <row r="36" spans="1:8" ht="15.75">
      <c r="A36" s="74">
        <v>6.4</v>
      </c>
      <c r="B36" s="204" t="s">
        <v>312</v>
      </c>
      <c r="C36" s="477">
        <v>0</v>
      </c>
      <c r="D36" s="477">
        <v>0</v>
      </c>
      <c r="E36" s="478">
        <f t="shared" si="1"/>
        <v>0</v>
      </c>
      <c r="F36" s="477">
        <v>0</v>
      </c>
      <c r="G36" s="477">
        <v>0</v>
      </c>
      <c r="H36" s="460">
        <f t="shared" si="0"/>
        <v>0</v>
      </c>
    </row>
    <row r="37" spans="1:8" ht="15.75">
      <c r="A37" s="74">
        <v>6.5</v>
      </c>
      <c r="B37" s="204" t="s">
        <v>313</v>
      </c>
      <c r="C37" s="477">
        <v>0</v>
      </c>
      <c r="D37" s="477">
        <v>0</v>
      </c>
      <c r="E37" s="478">
        <f t="shared" si="1"/>
        <v>0</v>
      </c>
      <c r="F37" s="477">
        <v>0</v>
      </c>
      <c r="G37" s="477">
        <v>0</v>
      </c>
      <c r="H37" s="460">
        <f t="shared" si="0"/>
        <v>0</v>
      </c>
    </row>
    <row r="38" spans="1:8" ht="15.75">
      <c r="A38" s="74">
        <v>6.6</v>
      </c>
      <c r="B38" s="204" t="s">
        <v>316</v>
      </c>
      <c r="C38" s="477">
        <v>0</v>
      </c>
      <c r="D38" s="477">
        <v>0</v>
      </c>
      <c r="E38" s="478">
        <f t="shared" si="1"/>
        <v>0</v>
      </c>
      <c r="F38" s="477">
        <v>0</v>
      </c>
      <c r="G38" s="477">
        <v>0</v>
      </c>
      <c r="H38" s="460">
        <f t="shared" si="0"/>
        <v>0</v>
      </c>
    </row>
    <row r="39" spans="1:8" ht="15.75">
      <c r="A39" s="74">
        <v>6.7</v>
      </c>
      <c r="B39" s="204" t="s">
        <v>317</v>
      </c>
      <c r="C39" s="477">
        <v>0</v>
      </c>
      <c r="D39" s="477">
        <v>0</v>
      </c>
      <c r="E39" s="478">
        <f t="shared" si="1"/>
        <v>0</v>
      </c>
      <c r="F39" s="477">
        <v>0</v>
      </c>
      <c r="G39" s="477">
        <v>0</v>
      </c>
      <c r="H39" s="460">
        <f t="shared" si="0"/>
        <v>0</v>
      </c>
    </row>
    <row r="40" spans="1:8" ht="15.75">
      <c r="A40" s="74">
        <v>7</v>
      </c>
      <c r="B40" s="163" t="s">
        <v>320</v>
      </c>
      <c r="C40" s="477">
        <v>0</v>
      </c>
      <c r="D40" s="477">
        <v>0</v>
      </c>
      <c r="E40" s="478">
        <f t="shared" si="1"/>
        <v>0</v>
      </c>
      <c r="F40" s="477">
        <v>0</v>
      </c>
      <c r="G40" s="477">
        <v>0</v>
      </c>
      <c r="H40" s="460">
        <f t="shared" si="0"/>
        <v>0</v>
      </c>
    </row>
    <row r="41" spans="1:8" ht="15.75">
      <c r="A41" s="74">
        <v>7.1</v>
      </c>
      <c r="B41" s="162" t="s">
        <v>321</v>
      </c>
      <c r="C41" s="477">
        <v>271095.12999999995</v>
      </c>
      <c r="D41" s="477">
        <v>166013.76000000001</v>
      </c>
      <c r="E41" s="478">
        <f t="shared" si="1"/>
        <v>437108.88999999996</v>
      </c>
      <c r="F41" s="477">
        <v>286784.93999999994</v>
      </c>
      <c r="G41" s="477">
        <v>574117.15150000004</v>
      </c>
      <c r="H41" s="460">
        <f t="shared" si="0"/>
        <v>860902.09149999998</v>
      </c>
    </row>
    <row r="42" spans="1:8" ht="25.5">
      <c r="A42" s="74">
        <v>7.2</v>
      </c>
      <c r="B42" s="162" t="s">
        <v>322</v>
      </c>
      <c r="C42" s="477">
        <v>892744.7099999995</v>
      </c>
      <c r="D42" s="477">
        <v>828817.7799999998</v>
      </c>
      <c r="E42" s="478">
        <f t="shared" si="1"/>
        <v>1721562.4899999993</v>
      </c>
      <c r="F42" s="477">
        <v>656612.76000000024</v>
      </c>
      <c r="G42" s="477">
        <v>916961.6446</v>
      </c>
      <c r="H42" s="460">
        <f t="shared" si="0"/>
        <v>1573574.4046000002</v>
      </c>
    </row>
    <row r="43" spans="1:8" ht="25.5">
      <c r="A43" s="74">
        <v>7.3</v>
      </c>
      <c r="B43" s="162" t="s">
        <v>325</v>
      </c>
      <c r="C43" s="477">
        <v>5609678.9100000104</v>
      </c>
      <c r="D43" s="477">
        <v>15085445.09</v>
      </c>
      <c r="E43" s="478">
        <f t="shared" si="1"/>
        <v>20695124.000000011</v>
      </c>
      <c r="F43" s="477">
        <v>5593699.0855000187</v>
      </c>
      <c r="G43" s="477">
        <v>17966659.055600006</v>
      </c>
      <c r="H43" s="460">
        <f t="shared" si="0"/>
        <v>23560358.141100027</v>
      </c>
    </row>
    <row r="44" spans="1:8" ht="25.5">
      <c r="A44" s="74">
        <v>7.4</v>
      </c>
      <c r="B44" s="162" t="s">
        <v>326</v>
      </c>
      <c r="C44" s="477">
        <v>8858390.4100000132</v>
      </c>
      <c r="D44" s="477">
        <v>31957900.679999992</v>
      </c>
      <c r="E44" s="478">
        <f t="shared" si="1"/>
        <v>40816291.090000004</v>
      </c>
      <c r="F44" s="477">
        <v>9860210.9200000167</v>
      </c>
      <c r="G44" s="477">
        <v>51125298.037699997</v>
      </c>
      <c r="H44" s="460">
        <f t="shared" si="0"/>
        <v>60985508.957700014</v>
      </c>
    </row>
    <row r="45" spans="1:8" ht="15.75">
      <c r="A45" s="74">
        <v>8</v>
      </c>
      <c r="B45" s="163" t="s">
        <v>303</v>
      </c>
      <c r="C45" s="477">
        <v>0</v>
      </c>
      <c r="D45" s="477">
        <v>0</v>
      </c>
      <c r="E45" s="478">
        <f t="shared" si="1"/>
        <v>0</v>
      </c>
      <c r="F45" s="477">
        <v>0</v>
      </c>
      <c r="G45" s="477">
        <v>0</v>
      </c>
      <c r="H45" s="460">
        <f t="shared" si="0"/>
        <v>0</v>
      </c>
    </row>
    <row r="46" spans="1:8" ht="15.75">
      <c r="A46" s="74">
        <v>8.1</v>
      </c>
      <c r="B46" s="202" t="s">
        <v>327</v>
      </c>
      <c r="C46" s="477">
        <v>0</v>
      </c>
      <c r="D46" s="477">
        <v>0</v>
      </c>
      <c r="E46" s="478">
        <f t="shared" si="1"/>
        <v>0</v>
      </c>
      <c r="F46" s="477">
        <v>0</v>
      </c>
      <c r="G46" s="477">
        <v>0</v>
      </c>
      <c r="H46" s="460">
        <f t="shared" si="0"/>
        <v>0</v>
      </c>
    </row>
    <row r="47" spans="1:8" ht="15.75">
      <c r="A47" s="74">
        <v>8.1999999999999993</v>
      </c>
      <c r="B47" s="202" t="s">
        <v>328</v>
      </c>
      <c r="C47" s="477">
        <v>0</v>
      </c>
      <c r="D47" s="477">
        <v>0</v>
      </c>
      <c r="E47" s="478">
        <f t="shared" si="1"/>
        <v>0</v>
      </c>
      <c r="F47" s="477">
        <v>0</v>
      </c>
      <c r="G47" s="477">
        <v>0</v>
      </c>
      <c r="H47" s="460">
        <f t="shared" si="0"/>
        <v>0</v>
      </c>
    </row>
    <row r="48" spans="1:8" ht="15.75">
      <c r="A48" s="74">
        <v>8.3000000000000007</v>
      </c>
      <c r="B48" s="202" t="s">
        <v>329</v>
      </c>
      <c r="C48" s="477">
        <v>0</v>
      </c>
      <c r="D48" s="477">
        <v>0</v>
      </c>
      <c r="E48" s="478">
        <f t="shared" si="1"/>
        <v>0</v>
      </c>
      <c r="F48" s="477">
        <v>0</v>
      </c>
      <c r="G48" s="477">
        <v>0</v>
      </c>
      <c r="H48" s="460">
        <f t="shared" si="0"/>
        <v>0</v>
      </c>
    </row>
    <row r="49" spans="1:8" ht="15.75">
      <c r="A49" s="74">
        <v>8.4</v>
      </c>
      <c r="B49" s="202" t="s">
        <v>330</v>
      </c>
      <c r="C49" s="477">
        <v>0</v>
      </c>
      <c r="D49" s="477">
        <v>0</v>
      </c>
      <c r="E49" s="478">
        <f t="shared" si="1"/>
        <v>0</v>
      </c>
      <c r="F49" s="477">
        <v>0</v>
      </c>
      <c r="G49" s="477">
        <v>0</v>
      </c>
      <c r="H49" s="460">
        <f t="shared" si="0"/>
        <v>0</v>
      </c>
    </row>
    <row r="50" spans="1:8" ht="15.75">
      <c r="A50" s="74">
        <v>8.5</v>
      </c>
      <c r="B50" s="202" t="s">
        <v>331</v>
      </c>
      <c r="C50" s="477">
        <v>0</v>
      </c>
      <c r="D50" s="477">
        <v>0</v>
      </c>
      <c r="E50" s="478">
        <f t="shared" si="1"/>
        <v>0</v>
      </c>
      <c r="F50" s="477">
        <v>0</v>
      </c>
      <c r="G50" s="477">
        <v>0</v>
      </c>
      <c r="H50" s="460">
        <f t="shared" si="0"/>
        <v>0</v>
      </c>
    </row>
    <row r="51" spans="1:8" ht="15.75">
      <c r="A51" s="74">
        <v>8.6</v>
      </c>
      <c r="B51" s="202" t="s">
        <v>332</v>
      </c>
      <c r="C51" s="477">
        <v>0</v>
      </c>
      <c r="D51" s="477">
        <v>0</v>
      </c>
      <c r="E51" s="478">
        <f t="shared" si="1"/>
        <v>0</v>
      </c>
      <c r="F51" s="477">
        <v>0</v>
      </c>
      <c r="G51" s="477">
        <v>0</v>
      </c>
      <c r="H51" s="460">
        <f t="shared" si="0"/>
        <v>0</v>
      </c>
    </row>
    <row r="52" spans="1:8" ht="15.75">
      <c r="A52" s="74">
        <v>8.6999999999999993</v>
      </c>
      <c r="B52" s="202" t="s">
        <v>333</v>
      </c>
      <c r="C52" s="477">
        <v>0</v>
      </c>
      <c r="D52" s="477">
        <v>0</v>
      </c>
      <c r="E52" s="478">
        <f t="shared" si="1"/>
        <v>0</v>
      </c>
      <c r="F52" s="477">
        <v>0</v>
      </c>
      <c r="G52" s="477">
        <v>0</v>
      </c>
      <c r="H52" s="460">
        <f t="shared" si="0"/>
        <v>0</v>
      </c>
    </row>
    <row r="53" spans="1:8" ht="16.5" thickBot="1">
      <c r="A53" s="165">
        <v>9</v>
      </c>
      <c r="B53" s="166" t="s">
        <v>323</v>
      </c>
      <c r="C53" s="479">
        <v>0</v>
      </c>
      <c r="D53" s="479">
        <v>0</v>
      </c>
      <c r="E53" s="480">
        <f t="shared" si="1"/>
        <v>0</v>
      </c>
      <c r="F53" s="479">
        <v>0</v>
      </c>
      <c r="G53" s="479">
        <v>0</v>
      </c>
      <c r="H53" s="464">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140625" defaultRowHeight="12.75"/>
  <cols>
    <col min="1" max="1" width="9.5703125" style="4" bestFit="1" customWidth="1"/>
    <col min="2" max="2" width="93.5703125" style="4" customWidth="1"/>
    <col min="3" max="4" width="10.7109375" style="4" customWidth="1"/>
    <col min="5" max="7" width="10.85546875" style="30" bestFit="1" customWidth="1"/>
    <col min="8" max="11" width="9.7109375" style="30" customWidth="1"/>
    <col min="12" max="16384" width="9.140625" style="30"/>
  </cols>
  <sheetData>
    <row r="1" spans="1:7">
      <c r="A1" s="2" t="s">
        <v>30</v>
      </c>
      <c r="B1" s="3" t="str">
        <f>'Info '!C2</f>
        <v>Terabank</v>
      </c>
      <c r="C1" s="3"/>
    </row>
    <row r="2" spans="1:7">
      <c r="A2" s="2" t="s">
        <v>31</v>
      </c>
      <c r="B2" s="339">
        <f>'1. key ratios '!B2</f>
        <v>44742</v>
      </c>
      <c r="C2" s="3"/>
    </row>
    <row r="3" spans="1:7">
      <c r="A3" s="2"/>
      <c r="B3" s="3"/>
      <c r="C3" s="3"/>
    </row>
    <row r="4" spans="1:7" ht="15" customHeight="1" thickBot="1">
      <c r="A4" s="4" t="s">
        <v>198</v>
      </c>
      <c r="B4" s="124" t="s">
        <v>297</v>
      </c>
      <c r="C4" s="48" t="s">
        <v>73</v>
      </c>
    </row>
    <row r="5" spans="1:7" ht="15" customHeight="1">
      <c r="A5" s="189" t="s">
        <v>6</v>
      </c>
      <c r="B5" s="190"/>
      <c r="C5" s="337" t="str">
        <f>INT((MONTH($B$2))/3)&amp;"Q"&amp;"-"&amp;YEAR($B$2)</f>
        <v>2Q-2022</v>
      </c>
      <c r="D5" s="337" t="str">
        <f>IF(INT(MONTH($B$2))=3, "4"&amp;"Q"&amp;"-"&amp;YEAR($B$2)-1, IF(INT(MONTH($B$2))=6, "1"&amp;"Q"&amp;"-"&amp;YEAR($B$2), IF(INT(MONTH($B$2))=9, "2"&amp;"Q"&amp;"-"&amp;YEAR($B$2),IF(INT(MONTH($B$2))=12, "3"&amp;"Q"&amp;"-"&amp;YEAR($B$2), 0))))</f>
        <v>1Q-2022</v>
      </c>
      <c r="E5" s="337" t="str">
        <f>IF(INT(MONTH($B$2))=3, "3"&amp;"Q"&amp;"-"&amp;YEAR($B$2)-1, IF(INT(MONTH($B$2))=6, "4"&amp;"Q"&amp;"-"&amp;YEAR($B$2)-1, IF(INT(MONTH($B$2))=9, "1"&amp;"Q"&amp;"-"&amp;YEAR($B$2),IF(INT(MONTH($B$2))=12, "2"&amp;"Q"&amp;"-"&amp;YEAR($B$2), 0))))</f>
        <v>4Q-2021</v>
      </c>
      <c r="F5" s="337" t="str">
        <f>IF(INT(MONTH($B$2))=3, "2"&amp;"Q"&amp;"-"&amp;YEAR($B$2)-1, IF(INT(MONTH($B$2))=6, "3"&amp;"Q"&amp;"-"&amp;YEAR($B$2)-1, IF(INT(MONTH($B$2))=9, "4"&amp;"Q"&amp;"-"&amp;YEAR($B$2)-1,IF(INT(MONTH($B$2))=12, "1"&amp;"Q"&amp;"-"&amp;YEAR($B$2), 0))))</f>
        <v>3Q-2021</v>
      </c>
      <c r="G5" s="338" t="str">
        <f>IF(INT(MONTH($B$2))=3, "1"&amp;"Q"&amp;"-"&amp;YEAR($B$2)-1, IF(INT(MONTH($B$2))=6, "2"&amp;"Q"&amp;"-"&amp;YEAR($B$2)-1, IF(INT(MONTH($B$2))=9, "3"&amp;"Q"&amp;"-"&amp;YEAR($B$2)-1,IF(INT(MONTH($B$2))=12, "4"&amp;"Q"&amp;"-"&amp;YEAR($B$2)-1, 0))))</f>
        <v>2Q-2021</v>
      </c>
    </row>
    <row r="6" spans="1:7" ht="15" customHeight="1">
      <c r="A6" s="49">
        <v>1</v>
      </c>
      <c r="B6" s="277" t="s">
        <v>301</v>
      </c>
      <c r="C6" s="481">
        <f>C7+C9+C10</f>
        <v>1049203338.7283688</v>
      </c>
      <c r="D6" s="482">
        <f>D7+D9+D10</f>
        <v>1032420386.6617638</v>
      </c>
      <c r="E6" s="279">
        <f t="shared" ref="E6:G6" si="0">E7+E9+E10</f>
        <v>1002728872.2713515</v>
      </c>
      <c r="F6" s="481">
        <f t="shared" si="0"/>
        <v>965651446.33749986</v>
      </c>
      <c r="G6" s="334">
        <f t="shared" si="0"/>
        <v>979824384.03484762</v>
      </c>
    </row>
    <row r="7" spans="1:7" ht="15" customHeight="1">
      <c r="A7" s="49">
        <v>1.1000000000000001</v>
      </c>
      <c r="B7" s="277" t="s">
        <v>481</v>
      </c>
      <c r="C7" s="483">
        <v>1008065502.2947187</v>
      </c>
      <c r="D7" s="484">
        <v>995364395.34226382</v>
      </c>
      <c r="E7" s="483">
        <v>970101006.45685148</v>
      </c>
      <c r="F7" s="483">
        <v>937814523.81499982</v>
      </c>
      <c r="G7" s="335">
        <v>954145441.56349766</v>
      </c>
    </row>
    <row r="8" spans="1:7">
      <c r="A8" s="49" t="s">
        <v>14</v>
      </c>
      <c r="B8" s="277" t="s">
        <v>197</v>
      </c>
      <c r="C8" s="483">
        <v>0</v>
      </c>
      <c r="D8" s="484">
        <v>0</v>
      </c>
      <c r="E8" s="483">
        <v>0</v>
      </c>
      <c r="F8" s="483">
        <v>0</v>
      </c>
      <c r="G8" s="335">
        <v>0</v>
      </c>
    </row>
    <row r="9" spans="1:7" ht="15" customHeight="1">
      <c r="A9" s="49">
        <v>1.2</v>
      </c>
      <c r="B9" s="278" t="s">
        <v>196</v>
      </c>
      <c r="C9" s="483">
        <v>39824476.43925</v>
      </c>
      <c r="D9" s="484">
        <v>35860145.319500007</v>
      </c>
      <c r="E9" s="483">
        <v>31278533.144499991</v>
      </c>
      <c r="F9" s="483">
        <v>26111884.892499991</v>
      </c>
      <c r="G9" s="335">
        <v>24338154.86074999</v>
      </c>
    </row>
    <row r="10" spans="1:7" ht="15" customHeight="1">
      <c r="A10" s="49">
        <v>1.3</v>
      </c>
      <c r="B10" s="277" t="s">
        <v>28</v>
      </c>
      <c r="C10" s="483">
        <v>1313359.9944</v>
      </c>
      <c r="D10" s="484">
        <v>1195846</v>
      </c>
      <c r="E10" s="483">
        <v>1349332.67</v>
      </c>
      <c r="F10" s="483">
        <v>1725037.6300000001</v>
      </c>
      <c r="G10" s="335">
        <v>1340787.6106</v>
      </c>
    </row>
    <row r="11" spans="1:7" ht="15" customHeight="1">
      <c r="A11" s="49">
        <v>2</v>
      </c>
      <c r="B11" s="277" t="s">
        <v>298</v>
      </c>
      <c r="C11" s="483">
        <v>22919644.720000107</v>
      </c>
      <c r="D11" s="484">
        <v>26979981.020000007</v>
      </c>
      <c r="E11" s="483">
        <v>29520683.129999924</v>
      </c>
      <c r="F11" s="483">
        <v>26498769.699999984</v>
      </c>
      <c r="G11" s="335">
        <v>26502380.349999961</v>
      </c>
    </row>
    <row r="12" spans="1:7" ht="15" customHeight="1">
      <c r="A12" s="49">
        <v>3</v>
      </c>
      <c r="B12" s="277" t="s">
        <v>299</v>
      </c>
      <c r="C12" s="483">
        <v>100082740.24375002</v>
      </c>
      <c r="D12" s="484">
        <v>100082740.24375002</v>
      </c>
      <c r="E12" s="483">
        <v>100082740.24375002</v>
      </c>
      <c r="F12" s="483">
        <v>99313156.550000012</v>
      </c>
      <c r="G12" s="335">
        <v>99313156.550000012</v>
      </c>
    </row>
    <row r="13" spans="1:7" ht="15" customHeight="1" thickBot="1">
      <c r="A13" s="51">
        <v>4</v>
      </c>
      <c r="B13" s="52" t="s">
        <v>300</v>
      </c>
      <c r="C13" s="280">
        <f>C6+C11+C12</f>
        <v>1172205723.6921189</v>
      </c>
      <c r="D13" s="333">
        <f>D6+D11+D12</f>
        <v>1159483107.9255137</v>
      </c>
      <c r="E13" s="281">
        <f t="shared" ref="E13:G13" si="1">E6+E11+E12</f>
        <v>1132332295.6451013</v>
      </c>
      <c r="F13" s="280">
        <f t="shared" si="1"/>
        <v>1091463372.5874999</v>
      </c>
      <c r="G13" s="336">
        <f t="shared" si="1"/>
        <v>1105639920.9348476</v>
      </c>
    </row>
    <row r="14" spans="1:7">
      <c r="B14" s="55"/>
    </row>
    <row r="15" spans="1:7" ht="25.5">
      <c r="B15" s="55" t="s">
        <v>482</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5"/>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K23" sqref="K23"/>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Terabank</v>
      </c>
    </row>
    <row r="2" spans="1:3">
      <c r="A2" s="2" t="s">
        <v>31</v>
      </c>
      <c r="B2" s="339">
        <f>'1. key ratios '!B2</f>
        <v>44742</v>
      </c>
    </row>
    <row r="4" spans="1:3" ht="27.95" customHeight="1" thickBot="1">
      <c r="A4" s="56" t="s">
        <v>80</v>
      </c>
      <c r="B4" s="57" t="s">
        <v>267</v>
      </c>
      <c r="C4" s="58"/>
    </row>
    <row r="5" spans="1:3">
      <c r="A5" s="59"/>
      <c r="B5" s="328" t="s">
        <v>81</v>
      </c>
      <c r="C5" s="329" t="s">
        <v>495</v>
      </c>
    </row>
    <row r="6" spans="1:3">
      <c r="A6" s="60">
        <v>1</v>
      </c>
      <c r="B6" s="485" t="s">
        <v>719</v>
      </c>
      <c r="C6" s="486" t="s">
        <v>720</v>
      </c>
    </row>
    <row r="7" spans="1:3">
      <c r="A7" s="60">
        <v>2</v>
      </c>
      <c r="B7" s="485" t="s">
        <v>721</v>
      </c>
      <c r="C7" s="486" t="s">
        <v>722</v>
      </c>
    </row>
    <row r="8" spans="1:3">
      <c r="A8" s="60">
        <v>3</v>
      </c>
      <c r="B8" s="485" t="s">
        <v>769</v>
      </c>
      <c r="C8" s="486" t="s">
        <v>722</v>
      </c>
    </row>
    <row r="9" spans="1:3">
      <c r="A9" s="60">
        <v>4</v>
      </c>
      <c r="B9" s="485" t="s">
        <v>723</v>
      </c>
      <c r="C9" s="486" t="s">
        <v>724</v>
      </c>
    </row>
    <row r="10" spans="1:3">
      <c r="A10" s="60">
        <v>5</v>
      </c>
      <c r="B10" s="485" t="s">
        <v>725</v>
      </c>
      <c r="C10" s="486" t="s">
        <v>724</v>
      </c>
    </row>
    <row r="11" spans="1:3">
      <c r="A11" s="60">
        <v>6</v>
      </c>
      <c r="B11" s="485" t="s">
        <v>726</v>
      </c>
      <c r="C11" s="486" t="s">
        <v>724</v>
      </c>
    </row>
    <row r="12" spans="1:3">
      <c r="A12" s="60"/>
      <c r="B12" s="485"/>
      <c r="C12" s="486"/>
    </row>
    <row r="13" spans="1:3">
      <c r="A13" s="60"/>
      <c r="B13" s="330"/>
      <c r="C13" s="331"/>
    </row>
    <row r="14" spans="1:3" ht="25.5">
      <c r="A14" s="60"/>
      <c r="B14" s="172" t="s">
        <v>82</v>
      </c>
      <c r="C14" s="332" t="s">
        <v>496</v>
      </c>
    </row>
    <row r="15" spans="1:3">
      <c r="A15" s="60">
        <v>1</v>
      </c>
      <c r="B15" s="485" t="s">
        <v>727</v>
      </c>
      <c r="C15" s="527" t="s">
        <v>728</v>
      </c>
    </row>
    <row r="16" spans="1:3">
      <c r="A16" s="60">
        <v>2</v>
      </c>
      <c r="B16" s="485" t="s">
        <v>729</v>
      </c>
      <c r="C16" s="527" t="s">
        <v>730</v>
      </c>
    </row>
    <row r="17" spans="1:3">
      <c r="A17" s="60">
        <v>3</v>
      </c>
      <c r="B17" s="485" t="s">
        <v>731</v>
      </c>
      <c r="C17" s="527" t="s">
        <v>732</v>
      </c>
    </row>
    <row r="18" spans="1:3">
      <c r="A18" s="60">
        <v>4</v>
      </c>
      <c r="B18" s="485" t="s">
        <v>733</v>
      </c>
      <c r="C18" s="527" t="s">
        <v>734</v>
      </c>
    </row>
    <row r="19" spans="1:3">
      <c r="A19" s="60">
        <v>5</v>
      </c>
      <c r="B19" s="485" t="s">
        <v>735</v>
      </c>
      <c r="C19" s="527" t="s">
        <v>736</v>
      </c>
    </row>
    <row r="20" spans="1:3" ht="15.75" customHeight="1">
      <c r="A20" s="60"/>
      <c r="B20" s="61"/>
      <c r="C20" s="63"/>
    </row>
    <row r="21" spans="1:3" ht="30" customHeight="1">
      <c r="A21" s="60"/>
      <c r="B21" s="637" t="s">
        <v>83</v>
      </c>
      <c r="C21" s="638"/>
    </row>
    <row r="22" spans="1:3" ht="15.75">
      <c r="A22" s="60">
        <v>1</v>
      </c>
      <c r="B22" s="485" t="s">
        <v>717</v>
      </c>
      <c r="C22" s="490">
        <v>0.65</v>
      </c>
    </row>
    <row r="23" spans="1:3" ht="15.75">
      <c r="A23" s="60">
        <v>2</v>
      </c>
      <c r="B23" s="485" t="s">
        <v>737</v>
      </c>
      <c r="C23" s="490">
        <v>0.15</v>
      </c>
    </row>
    <row r="24" spans="1:3" ht="15.75">
      <c r="A24" s="60">
        <v>3</v>
      </c>
      <c r="B24" s="485" t="s">
        <v>738</v>
      </c>
      <c r="C24" s="490">
        <v>0.15</v>
      </c>
    </row>
    <row r="25" spans="1:3" ht="15.75">
      <c r="A25" s="60">
        <v>4</v>
      </c>
      <c r="B25" s="485" t="s">
        <v>739</v>
      </c>
      <c r="C25" s="490">
        <v>0.05</v>
      </c>
    </row>
    <row r="26" spans="1:3">
      <c r="A26" s="60"/>
      <c r="B26" s="485"/>
      <c r="C26" s="486"/>
    </row>
    <row r="27" spans="1:3" ht="15.75" customHeight="1">
      <c r="A27" s="60"/>
      <c r="B27" s="61"/>
      <c r="C27" s="62"/>
    </row>
    <row r="28" spans="1:3" ht="29.25" customHeight="1">
      <c r="A28" s="60"/>
      <c r="B28" s="637" t="s">
        <v>84</v>
      </c>
      <c r="C28" s="638"/>
    </row>
    <row r="29" spans="1:3" ht="15.75">
      <c r="A29" s="60">
        <v>1</v>
      </c>
      <c r="B29" s="485" t="s">
        <v>717</v>
      </c>
      <c r="C29" s="490">
        <v>0.65</v>
      </c>
    </row>
    <row r="30" spans="1:3" ht="15.75">
      <c r="A30" s="487">
        <v>2</v>
      </c>
      <c r="B30" s="488" t="s">
        <v>737</v>
      </c>
      <c r="C30" s="491">
        <v>0.15</v>
      </c>
    </row>
    <row r="31" spans="1:3" ht="15.75">
      <c r="A31" s="487">
        <v>3</v>
      </c>
      <c r="B31" s="488" t="s">
        <v>738</v>
      </c>
      <c r="C31" s="491">
        <v>0.15</v>
      </c>
    </row>
    <row r="32" spans="1:3" ht="15.75">
      <c r="A32" s="487">
        <v>4</v>
      </c>
      <c r="B32" s="488" t="s">
        <v>739</v>
      </c>
      <c r="C32" s="491">
        <v>0.05</v>
      </c>
    </row>
    <row r="33" spans="1:3">
      <c r="A33" s="487"/>
      <c r="B33" s="488"/>
      <c r="C33" s="489"/>
    </row>
    <row r="34" spans="1:3">
      <c r="A34" s="487"/>
      <c r="B34" s="488"/>
      <c r="C34" s="489"/>
    </row>
    <row r="35" spans="1:3" ht="15" thickBot="1">
      <c r="A35" s="64"/>
      <c r="B35" s="65"/>
      <c r="C35" s="66"/>
    </row>
  </sheetData>
  <mergeCells count="2">
    <mergeCell ref="B28:C28"/>
    <mergeCell ref="B21:C21"/>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54" t="s">
        <v>30</v>
      </c>
      <c r="B1" s="3" t="str">
        <f>'Info '!C2</f>
        <v>Terabank</v>
      </c>
    </row>
    <row r="2" spans="1:5" s="2" customFormat="1" ht="15.75" customHeight="1">
      <c r="A2" s="54" t="s">
        <v>31</v>
      </c>
      <c r="B2" s="339">
        <f>'1. key ratios '!B2</f>
        <v>44742</v>
      </c>
    </row>
    <row r="3" spans="1:5" s="2" customFormat="1" ht="15.75" customHeight="1">
      <c r="A3" s="54"/>
    </row>
    <row r="4" spans="1:5" s="2" customFormat="1" ht="15.75" customHeight="1" thickBot="1">
      <c r="A4" s="227" t="s">
        <v>202</v>
      </c>
      <c r="B4" s="643" t="s">
        <v>347</v>
      </c>
      <c r="C4" s="644"/>
      <c r="D4" s="644"/>
      <c r="E4" s="644"/>
    </row>
    <row r="5" spans="1:5" s="70" customFormat="1" ht="17.45" customHeight="1">
      <c r="A5" s="177"/>
      <c r="B5" s="178"/>
      <c r="C5" s="68" t="s">
        <v>0</v>
      </c>
      <c r="D5" s="68" t="s">
        <v>1</v>
      </c>
      <c r="E5" s="69" t="s">
        <v>2</v>
      </c>
    </row>
    <row r="6" spans="1:5" ht="14.45" customHeight="1">
      <c r="A6" s="135"/>
      <c r="B6" s="639" t="s">
        <v>354</v>
      </c>
      <c r="C6" s="639" t="s">
        <v>93</v>
      </c>
      <c r="D6" s="641" t="s">
        <v>201</v>
      </c>
      <c r="E6" s="642"/>
    </row>
    <row r="7" spans="1:5" ht="99.6" customHeight="1">
      <c r="A7" s="135"/>
      <c r="B7" s="640"/>
      <c r="C7" s="639"/>
      <c r="D7" s="260" t="s">
        <v>200</v>
      </c>
      <c r="E7" s="261" t="s">
        <v>355</v>
      </c>
    </row>
    <row r="8" spans="1:5">
      <c r="A8" s="71">
        <v>1</v>
      </c>
      <c r="B8" s="262" t="s">
        <v>35</v>
      </c>
      <c r="C8" s="492">
        <v>33683899.900000006</v>
      </c>
      <c r="D8" s="492">
        <v>0</v>
      </c>
      <c r="E8" s="493">
        <v>33683899.900000006</v>
      </c>
    </row>
    <row r="9" spans="1:5">
      <c r="A9" s="71">
        <v>2</v>
      </c>
      <c r="B9" s="262" t="s">
        <v>36</v>
      </c>
      <c r="C9" s="492">
        <v>126868087.36</v>
      </c>
      <c r="D9" s="492">
        <v>0</v>
      </c>
      <c r="E9" s="493">
        <v>126868087.36</v>
      </c>
    </row>
    <row r="10" spans="1:5">
      <c r="A10" s="71">
        <v>3</v>
      </c>
      <c r="B10" s="262" t="s">
        <v>37</v>
      </c>
      <c r="C10" s="492">
        <v>9908461.8499999996</v>
      </c>
      <c r="D10" s="492">
        <v>0</v>
      </c>
      <c r="E10" s="493">
        <v>9908461.8499999996</v>
      </c>
    </row>
    <row r="11" spans="1:5">
      <c r="A11" s="71">
        <v>4</v>
      </c>
      <c r="B11" s="262" t="s">
        <v>38</v>
      </c>
      <c r="C11" s="492">
        <v>0</v>
      </c>
      <c r="D11" s="492">
        <v>0</v>
      </c>
      <c r="E11" s="493">
        <v>0</v>
      </c>
    </row>
    <row r="12" spans="1:5">
      <c r="A12" s="71">
        <v>5</v>
      </c>
      <c r="B12" s="262" t="s">
        <v>39</v>
      </c>
      <c r="C12" s="492">
        <v>153115320.19999999</v>
      </c>
      <c r="D12" s="492">
        <v>0</v>
      </c>
      <c r="E12" s="493">
        <v>153115320.19999999</v>
      </c>
    </row>
    <row r="13" spans="1:5">
      <c r="A13" s="71">
        <v>6.1</v>
      </c>
      <c r="B13" s="263" t="s">
        <v>40</v>
      </c>
      <c r="C13" s="494">
        <v>1044853951.8300011</v>
      </c>
      <c r="D13" s="492">
        <v>0</v>
      </c>
      <c r="E13" s="493">
        <v>1044853951.8300011</v>
      </c>
    </row>
    <row r="14" spans="1:5">
      <c r="A14" s="71">
        <v>6.2</v>
      </c>
      <c r="B14" s="264" t="s">
        <v>41</v>
      </c>
      <c r="C14" s="494">
        <v>47729652.000000134</v>
      </c>
      <c r="D14" s="492">
        <v>0</v>
      </c>
      <c r="E14" s="493">
        <v>47729652.000000134</v>
      </c>
    </row>
    <row r="15" spans="1:5">
      <c r="A15" s="71">
        <v>6</v>
      </c>
      <c r="B15" s="262" t="s">
        <v>42</v>
      </c>
      <c r="C15" s="492">
        <v>997124299.83000112</v>
      </c>
      <c r="D15" s="492">
        <v>0</v>
      </c>
      <c r="E15" s="493">
        <v>997124299.83000112</v>
      </c>
    </row>
    <row r="16" spans="1:5">
      <c r="A16" s="71">
        <v>7</v>
      </c>
      <c r="B16" s="262" t="s">
        <v>43</v>
      </c>
      <c r="C16" s="492">
        <v>12179876.750000024</v>
      </c>
      <c r="D16" s="492">
        <v>0</v>
      </c>
      <c r="E16" s="493">
        <v>12179876.750000024</v>
      </c>
    </row>
    <row r="17" spans="1:7">
      <c r="A17" s="71">
        <v>8</v>
      </c>
      <c r="B17" s="262" t="s">
        <v>199</v>
      </c>
      <c r="C17" s="492">
        <v>4635228.3099999931</v>
      </c>
      <c r="D17" s="492">
        <v>0</v>
      </c>
      <c r="E17" s="493">
        <v>4635228.3099999931</v>
      </c>
      <c r="F17" s="72"/>
      <c r="G17" s="72"/>
    </row>
    <row r="18" spans="1:7">
      <c r="A18" s="71">
        <v>9</v>
      </c>
      <c r="B18" s="262" t="s">
        <v>44</v>
      </c>
      <c r="C18" s="492">
        <v>0</v>
      </c>
      <c r="D18" s="492">
        <v>0</v>
      </c>
      <c r="E18" s="493">
        <v>0</v>
      </c>
      <c r="G18" s="72"/>
    </row>
    <row r="19" spans="1:7">
      <c r="A19" s="71">
        <v>10</v>
      </c>
      <c r="B19" s="262" t="s">
        <v>45</v>
      </c>
      <c r="C19" s="492">
        <v>46687861.470000021</v>
      </c>
      <c r="D19" s="492">
        <v>23650896</v>
      </c>
      <c r="E19" s="493">
        <v>23036965.470000021</v>
      </c>
      <c r="G19" s="72"/>
    </row>
    <row r="20" spans="1:7">
      <c r="A20" s="71">
        <v>11</v>
      </c>
      <c r="B20" s="262" t="s">
        <v>46</v>
      </c>
      <c r="C20" s="492">
        <v>8025379.0039999997</v>
      </c>
      <c r="D20" s="492">
        <v>0</v>
      </c>
      <c r="E20" s="493">
        <v>8025379.0039999997</v>
      </c>
    </row>
    <row r="21" spans="1:7" ht="26.25" thickBot="1">
      <c r="A21" s="138"/>
      <c r="B21" s="228" t="s">
        <v>357</v>
      </c>
      <c r="C21" s="495">
        <f>SUM(C8:C12, C15:C20)</f>
        <v>1392228414.674001</v>
      </c>
      <c r="D21" s="495">
        <f>SUM(D8:D12, D15:D20)</f>
        <v>23650896</v>
      </c>
      <c r="E21" s="496">
        <f>SUM(E8:E12, E15:E20)</f>
        <v>1368577518.674001</v>
      </c>
    </row>
    <row r="22" spans="1:7">
      <c r="A22" s="5"/>
      <c r="B22" s="5"/>
      <c r="C22" s="5"/>
      <c r="D22" s="5"/>
      <c r="E22" s="5"/>
    </row>
    <row r="23" spans="1:7">
      <c r="A23" s="5"/>
      <c r="B23" s="5"/>
      <c r="C23" s="5"/>
      <c r="D23" s="5"/>
      <c r="E23" s="5"/>
    </row>
    <row r="25" spans="1:7" s="4" customFormat="1">
      <c r="B25" s="73"/>
      <c r="F25" s="5"/>
      <c r="G25" s="5"/>
    </row>
    <row r="26" spans="1:7" s="4" customFormat="1">
      <c r="B26" s="73"/>
      <c r="F26" s="5"/>
      <c r="G26" s="5"/>
    </row>
    <row r="27" spans="1:7" s="4" customFormat="1">
      <c r="B27" s="73"/>
      <c r="F27" s="5"/>
      <c r="G27" s="5"/>
    </row>
    <row r="28" spans="1:7" s="4" customFormat="1">
      <c r="B28" s="73"/>
      <c r="F28" s="5"/>
      <c r="G28" s="5"/>
    </row>
    <row r="29" spans="1:7" s="4" customFormat="1">
      <c r="B29" s="73"/>
      <c r="F29" s="5"/>
      <c r="G29" s="5"/>
    </row>
    <row r="30" spans="1:7" s="4" customFormat="1">
      <c r="B30" s="73"/>
      <c r="F30" s="5"/>
      <c r="G30" s="5"/>
    </row>
    <row r="31" spans="1:7" s="4" customFormat="1">
      <c r="B31" s="73"/>
      <c r="F31" s="5"/>
      <c r="G31" s="5"/>
    </row>
    <row r="32" spans="1:7" s="4" customFormat="1">
      <c r="B32" s="73"/>
      <c r="F32" s="5"/>
      <c r="G32" s="5"/>
    </row>
    <row r="33" spans="2:7" s="4" customFormat="1">
      <c r="B33" s="73"/>
      <c r="F33" s="5"/>
      <c r="G33" s="5"/>
    </row>
    <row r="34" spans="2:7" s="4" customFormat="1">
      <c r="B34" s="73"/>
      <c r="F34" s="5"/>
      <c r="G34" s="5"/>
    </row>
    <row r="35" spans="2:7" s="4" customFormat="1">
      <c r="B35" s="73"/>
      <c r="F35" s="5"/>
      <c r="G35" s="5"/>
    </row>
    <row r="36" spans="2:7" s="4" customFormat="1">
      <c r="B36" s="73"/>
      <c r="F36" s="5"/>
      <c r="G36" s="5"/>
    </row>
    <row r="37" spans="2:7" s="4" customFormat="1">
      <c r="B37" s="7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D13" sqref="D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Terabank</v>
      </c>
    </row>
    <row r="2" spans="1:6" s="2" customFormat="1" ht="15.75" customHeight="1">
      <c r="A2" s="2" t="s">
        <v>31</v>
      </c>
      <c r="B2" s="339">
        <f>'1. key ratios '!B2</f>
        <v>44742</v>
      </c>
      <c r="C2" s="4"/>
      <c r="D2" s="4"/>
      <c r="E2" s="4"/>
      <c r="F2" s="4"/>
    </row>
    <row r="3" spans="1:6" s="2" customFormat="1" ht="15.75" customHeight="1">
      <c r="C3" s="4"/>
      <c r="D3" s="4"/>
      <c r="E3" s="4"/>
      <c r="F3" s="4"/>
    </row>
    <row r="4" spans="1:6" s="2" customFormat="1" ht="13.5" thickBot="1">
      <c r="A4" s="2" t="s">
        <v>85</v>
      </c>
      <c r="B4" s="229" t="s">
        <v>334</v>
      </c>
      <c r="C4" s="67" t="s">
        <v>73</v>
      </c>
      <c r="D4" s="4"/>
      <c r="E4" s="4"/>
      <c r="F4" s="4"/>
    </row>
    <row r="5" spans="1:6" ht="15">
      <c r="A5" s="182">
        <v>1</v>
      </c>
      <c r="B5" s="230" t="s">
        <v>356</v>
      </c>
      <c r="C5" s="497">
        <v>1368577518.674001</v>
      </c>
    </row>
    <row r="6" spans="1:6" ht="15">
      <c r="A6" s="74">
        <v>2.1</v>
      </c>
      <c r="B6" s="136" t="s">
        <v>335</v>
      </c>
      <c r="C6" s="498">
        <v>99823097.260000005</v>
      </c>
    </row>
    <row r="7" spans="1:6" s="55" customFormat="1" ht="15" outlineLevel="1">
      <c r="A7" s="49">
        <v>2.2000000000000002</v>
      </c>
      <c r="B7" s="50" t="s">
        <v>336</v>
      </c>
      <c r="C7" s="499">
        <v>65667999.719999999</v>
      </c>
    </row>
    <row r="8" spans="1:6" s="55" customFormat="1" ht="25.5">
      <c r="A8" s="49">
        <v>3</v>
      </c>
      <c r="B8" s="180" t="s">
        <v>337</v>
      </c>
      <c r="C8" s="500">
        <f>SUM(C5:C7)</f>
        <v>1534068615.654001</v>
      </c>
    </row>
    <row r="9" spans="1:6" ht="15">
      <c r="A9" s="74">
        <v>4</v>
      </c>
      <c r="B9" s="75" t="s">
        <v>87</v>
      </c>
      <c r="C9" s="498">
        <v>18049432.240000006</v>
      </c>
    </row>
    <row r="10" spans="1:6" s="55" customFormat="1" ht="15" outlineLevel="1">
      <c r="A10" s="49">
        <v>5.0999999999999996</v>
      </c>
      <c r="B10" s="50" t="s">
        <v>338</v>
      </c>
      <c r="C10" s="499">
        <v>-46665268.005000062</v>
      </c>
    </row>
    <row r="11" spans="1:6" s="55" customFormat="1" ht="15" outlineLevel="1">
      <c r="A11" s="49">
        <v>5.2</v>
      </c>
      <c r="B11" s="50" t="s">
        <v>339</v>
      </c>
      <c r="C11" s="499">
        <v>-64354639.725599997</v>
      </c>
    </row>
    <row r="12" spans="1:6" s="55" customFormat="1" ht="15">
      <c r="A12" s="49">
        <v>6</v>
      </c>
      <c r="B12" s="179" t="s">
        <v>483</v>
      </c>
      <c r="C12" s="499">
        <v>0</v>
      </c>
    </row>
    <row r="13" spans="1:6" s="55" customFormat="1" ht="15.75" thickBot="1">
      <c r="A13" s="51">
        <v>7</v>
      </c>
      <c r="B13" s="181" t="s">
        <v>285</v>
      </c>
      <c r="C13" s="501">
        <f>SUM(C8:C12)</f>
        <v>1441098140.1634009</v>
      </c>
    </row>
    <row r="15" spans="1:6" ht="25.5">
      <c r="B15" s="55" t="s">
        <v>484</v>
      </c>
    </row>
    <row r="17" spans="1:2" ht="15">
      <c r="A17" s="191"/>
      <c r="B17" s="192"/>
    </row>
    <row r="18" spans="1:2" ht="15">
      <c r="A18" s="196"/>
      <c r="B18" s="197"/>
    </row>
    <row r="19" spans="1:2">
      <c r="A19" s="198"/>
      <c r="B19" s="193"/>
    </row>
    <row r="20" spans="1:2">
      <c r="A20" s="199"/>
      <c r="B20" s="194"/>
    </row>
    <row r="21" spans="1:2">
      <c r="A21" s="199"/>
      <c r="B21" s="197"/>
    </row>
    <row r="22" spans="1:2">
      <c r="A22" s="198"/>
      <c r="B22" s="195"/>
    </row>
    <row r="23" spans="1:2">
      <c r="A23" s="199"/>
      <c r="B23" s="194"/>
    </row>
    <row r="24" spans="1:2">
      <c r="A24" s="199"/>
      <c r="B24" s="194"/>
    </row>
    <row r="25" spans="1:2">
      <c r="A25" s="199"/>
      <c r="B25" s="200"/>
    </row>
    <row r="26" spans="1:2">
      <c r="A26" s="199"/>
      <c r="B26" s="197"/>
    </row>
    <row r="27" spans="1:2">
      <c r="B27" s="73"/>
    </row>
    <row r="28" spans="1:2">
      <c r="B28" s="73"/>
    </row>
    <row r="29" spans="1:2">
      <c r="B29" s="73"/>
    </row>
    <row r="30" spans="1:2">
      <c r="B30" s="73"/>
    </row>
    <row r="31" spans="1:2">
      <c r="B31" s="73"/>
    </row>
    <row r="32" spans="1:2">
      <c r="B32" s="73"/>
    </row>
    <row r="33" spans="2:2">
      <c r="B33" s="7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fBn2csGA7/YdFbAupydXbTtUZLCGeDj1LueVBxPxJdA=</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UcLbinY3genUsUFBWosDlodJeClG0R+5oHbNIoSm/U0=</DigestValue>
    </Reference>
  </SignedInfo>
  <SignatureValue>nAQRBm1rxKmNXIVEYjryhEqKfeeEqh/9x/k8QZj6JKI5dwvOvfPdJNz7ssglnXFwxbXcgcHgHUXN
Cd3QwzSC4rdL/8X6PtgmLO3++dvvvLCQhL+aZ9PCqgfVsFlaox4PcSdJlTdlEE7Hlgn/UusaST3r
A/+v+pqyoAbnbSYXlNpujK+zz+3JQp/aIi9RldHX3QbDHsKajyBK56mg2OftVJghMtb2XiBllEuo
9EHvLrCaFdCEqZUF/76s+rQzuCOlA4Wt4gP3cMEsx6xuwXPrX1Ka7ZxXQ9SqPrEyt5q16/F8dJvK
rommH0KjUbkMF/g97SqyZRXxkiMqgT6Eoj2lQQ==</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iU3/vIncqrJwj8h/YdO3XehGSvz/l2In4N5ph8ZLRNI=</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kwHUwqHzYNvAEhYDNRMtSXZgGag5YsEUDNepML40Lto=</DigestValue>
      </Reference>
      <Reference URI="/xl/styles.xml?ContentType=application/vnd.openxmlformats-officedocument.spreadsheetml.styles+xml">
        <DigestMethod Algorithm="http://www.w3.org/2001/04/xmlenc#sha256"/>
        <DigestValue>lvONvnqS2iOfPW9G44EZzKE2FENfINQqTDVJbR4tCNo=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/2WDVZ0m/GweH8qR9Y0fVG4IjJjVYGQMj+nft0CjN7Q=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qzUlHMnsUIjuG1jLhKvPu86+Bx1QNGU7lTec0jzMc80=</DigestValue>
      </Reference>
      <Reference URI="/xl/worksheets/sheet10.xml?ContentType=application/vnd.openxmlformats-officedocument.spreadsheetml.worksheet+xml">
        <DigestMethod Algorithm="http://www.w3.org/2001/04/xmlenc#sha256"/>
        <DigestValue>+zsdDS93MJ2TF3xXLLIvY2GxPauzjfRsWAMA/mbt2Ao=</DigestValue>
      </Reference>
      <Reference URI="/xl/worksheets/sheet11.xml?ContentType=application/vnd.openxmlformats-officedocument.spreadsheetml.worksheet+xml">
        <DigestMethod Algorithm="http://www.w3.org/2001/04/xmlenc#sha256"/>
        <DigestValue>a4ivIh6d6V3SuUHDicI4+YE1LOs+uw2XNess3fx0x3w=</DigestValue>
      </Reference>
      <Reference URI="/xl/worksheets/sheet12.xml?ContentType=application/vnd.openxmlformats-officedocument.spreadsheetml.worksheet+xml">
        <DigestMethod Algorithm="http://www.w3.org/2001/04/xmlenc#sha256"/>
        <DigestValue>TAcGLPAgkFUBpWzzprRTv82p8mJJl/S23hF/IVErTYc=</DigestValue>
      </Reference>
      <Reference URI="/xl/worksheets/sheet13.xml?ContentType=application/vnd.openxmlformats-officedocument.spreadsheetml.worksheet+xml">
        <DigestMethod Algorithm="http://www.w3.org/2001/04/xmlenc#sha256"/>
        <DigestValue>48awhHBdPIqRXRkB8GdTonDP+ZkQWWg1l+yqQTP0750=</DigestValue>
      </Reference>
      <Reference URI="/xl/worksheets/sheet14.xml?ContentType=application/vnd.openxmlformats-officedocument.spreadsheetml.worksheet+xml">
        <DigestMethod Algorithm="http://www.w3.org/2001/04/xmlenc#sha256"/>
        <DigestValue>TCvqYpnSmW367+BwxQ20ByoENBnUj2S1vS85QZMAmEE=</DigestValue>
      </Reference>
      <Reference URI="/xl/worksheets/sheet15.xml?ContentType=application/vnd.openxmlformats-officedocument.spreadsheetml.worksheet+xml">
        <DigestMethod Algorithm="http://www.w3.org/2001/04/xmlenc#sha256"/>
        <DigestValue>WZVvDrrUHx1VbSagZA9HpYTzf3hQ7vNQi2bQzfN1Ytk=</DigestValue>
      </Reference>
      <Reference URI="/xl/worksheets/sheet16.xml?ContentType=application/vnd.openxmlformats-officedocument.spreadsheetml.worksheet+xml">
        <DigestMethod Algorithm="http://www.w3.org/2001/04/xmlenc#sha256"/>
        <DigestValue>+2AXV81PSm0ptC4C/kTBW8kmrqvI15LYL6m4anMpFUQ=</DigestValue>
      </Reference>
      <Reference URI="/xl/worksheets/sheet17.xml?ContentType=application/vnd.openxmlformats-officedocument.spreadsheetml.worksheet+xml">
        <DigestMethod Algorithm="http://www.w3.org/2001/04/xmlenc#sha256"/>
        <DigestValue>jDDkjiXTTlpIWl6xOZUcKB8gdzDzoZGaEsq9duOOoXw=</DigestValue>
      </Reference>
      <Reference URI="/xl/worksheets/sheet18.xml?ContentType=application/vnd.openxmlformats-officedocument.spreadsheetml.worksheet+xml">
        <DigestMethod Algorithm="http://www.w3.org/2001/04/xmlenc#sha256"/>
        <DigestValue>WbLViyQpBa/V11y8ZJqXM2T+vJoctpNjPTzWAn5aYbY=</DigestValue>
      </Reference>
      <Reference URI="/xl/worksheets/sheet19.xml?ContentType=application/vnd.openxmlformats-officedocument.spreadsheetml.worksheet+xml">
        <DigestMethod Algorithm="http://www.w3.org/2001/04/xmlenc#sha256"/>
        <DigestValue>NX40U6cjI+NXZ9PA1y9TIYkQLWI+3yTdVbAEG2X9ITQ=</DigestValue>
      </Reference>
      <Reference URI="/xl/worksheets/sheet2.xml?ContentType=application/vnd.openxmlformats-officedocument.spreadsheetml.worksheet+xml">
        <DigestMethod Algorithm="http://www.w3.org/2001/04/xmlenc#sha256"/>
        <DigestValue>eBON49pVvWFKMKliscljM8d4feoUK72sADS1R6+v2X0=</DigestValue>
      </Reference>
      <Reference URI="/xl/worksheets/sheet20.xml?ContentType=application/vnd.openxmlformats-officedocument.spreadsheetml.worksheet+xml">
        <DigestMethod Algorithm="http://www.w3.org/2001/04/xmlenc#sha256"/>
        <DigestValue>eTgdQLvRWA/5efk4AI+MGOhUguN+2t/qgYk6ONvPO9g=</DigestValue>
      </Reference>
      <Reference URI="/xl/worksheets/sheet21.xml?ContentType=application/vnd.openxmlformats-officedocument.spreadsheetml.worksheet+xml">
        <DigestMethod Algorithm="http://www.w3.org/2001/04/xmlenc#sha256"/>
        <DigestValue>/jgEfgVCMBYUw179GEt/FpmJgzddk0JtWJ1OmMPl6FY=</DigestValue>
      </Reference>
      <Reference URI="/xl/worksheets/sheet22.xml?ContentType=application/vnd.openxmlformats-officedocument.spreadsheetml.worksheet+xml">
        <DigestMethod Algorithm="http://www.w3.org/2001/04/xmlenc#sha256"/>
        <DigestValue>8WhlrSsOhSF1SGcyG8UrxKAIJ1KK2RTf1PksUchI8sA=</DigestValue>
      </Reference>
      <Reference URI="/xl/worksheets/sheet23.xml?ContentType=application/vnd.openxmlformats-officedocument.spreadsheetml.worksheet+xml">
        <DigestMethod Algorithm="http://www.w3.org/2001/04/xmlenc#sha256"/>
        <DigestValue>a9iYYt0IkUZ4X4WIzj6M0YGI4EpThSYDhPIh1flFyYY=</DigestValue>
      </Reference>
      <Reference URI="/xl/worksheets/sheet24.xml?ContentType=application/vnd.openxmlformats-officedocument.spreadsheetml.worksheet+xml">
        <DigestMethod Algorithm="http://www.w3.org/2001/04/xmlenc#sha256"/>
        <DigestValue>WD+PwkQwA5ljuwIg3UDD3APB3hT/wFKNdfD4zq9QIOg=</DigestValue>
      </Reference>
      <Reference URI="/xl/worksheets/sheet25.xml?ContentType=application/vnd.openxmlformats-officedocument.spreadsheetml.worksheet+xml">
        <DigestMethod Algorithm="http://www.w3.org/2001/04/xmlenc#sha256"/>
        <DigestValue>nr/vd3zZFNFUDq5wPSPs9rfm70ieLkKXoKDg4Dvf5tw=</DigestValue>
      </Reference>
      <Reference URI="/xl/worksheets/sheet26.xml?ContentType=application/vnd.openxmlformats-officedocument.spreadsheetml.worksheet+xml">
        <DigestMethod Algorithm="http://www.w3.org/2001/04/xmlenc#sha256"/>
        <DigestValue>CbpR8H1UmAB3hi8av49DJo1y/JuUdJr1c0WT2uuFbo8=</DigestValue>
      </Reference>
      <Reference URI="/xl/worksheets/sheet27.xml?ContentType=application/vnd.openxmlformats-officedocument.spreadsheetml.worksheet+xml">
        <DigestMethod Algorithm="http://www.w3.org/2001/04/xmlenc#sha256"/>
        <DigestValue>GfezPyndEdUaNq+Gqy2eE1B/1BYn/LXieljDe+kVtpo=</DigestValue>
      </Reference>
      <Reference URI="/xl/worksheets/sheet28.xml?ContentType=application/vnd.openxmlformats-officedocument.spreadsheetml.worksheet+xml">
        <DigestMethod Algorithm="http://www.w3.org/2001/04/xmlenc#sha256"/>
        <DigestValue>IGYPnlbQPSjAb1l0emKZUASkyRHa/zCh5L8k9d2P39Q=</DigestValue>
      </Reference>
      <Reference URI="/xl/worksheets/sheet29.xml?ContentType=application/vnd.openxmlformats-officedocument.spreadsheetml.worksheet+xml">
        <DigestMethod Algorithm="http://www.w3.org/2001/04/xmlenc#sha256"/>
        <DigestValue>e2tPvK/VN95OXSGPfWU6SJxMwBhct3huqAUjb1a+vHs=</DigestValue>
      </Reference>
      <Reference URI="/xl/worksheets/sheet3.xml?ContentType=application/vnd.openxmlformats-officedocument.spreadsheetml.worksheet+xml">
        <DigestMethod Algorithm="http://www.w3.org/2001/04/xmlenc#sha256"/>
        <DigestValue>MfMfL9WMGpjUr6GBy6QC/pjqNDkugrtMs4Escp2DrrY=</DigestValue>
      </Reference>
      <Reference URI="/xl/worksheets/sheet4.xml?ContentType=application/vnd.openxmlformats-officedocument.spreadsheetml.worksheet+xml">
        <DigestMethod Algorithm="http://www.w3.org/2001/04/xmlenc#sha256"/>
        <DigestValue>0hh/yLty/yubBgIZ3bOK5kWj1sP2A0b77b+Y+y5ttSo=</DigestValue>
      </Reference>
      <Reference URI="/xl/worksheets/sheet5.xml?ContentType=application/vnd.openxmlformats-officedocument.spreadsheetml.worksheet+xml">
        <DigestMethod Algorithm="http://www.w3.org/2001/04/xmlenc#sha256"/>
        <DigestValue>YR/dMPcMyZ+yrPZcJaAQPgRGLHhOteLDxup0TqKyn+s=</DigestValue>
      </Reference>
      <Reference URI="/xl/worksheets/sheet6.xml?ContentType=application/vnd.openxmlformats-officedocument.spreadsheetml.worksheet+xml">
        <DigestMethod Algorithm="http://www.w3.org/2001/04/xmlenc#sha256"/>
        <DigestValue>cauF5x/PlTy4nglX1T2AlNQpPLtpXsLbKqm3tmH2xRU=</DigestValue>
      </Reference>
      <Reference URI="/xl/worksheets/sheet7.xml?ContentType=application/vnd.openxmlformats-officedocument.spreadsheetml.worksheet+xml">
        <DigestMethod Algorithm="http://www.w3.org/2001/04/xmlenc#sha256"/>
        <DigestValue>WQTg7ebxSKasmNO++MHQ/DuDyAz2StImilgdfZyR394=</DigestValue>
      </Reference>
      <Reference URI="/xl/worksheets/sheet8.xml?ContentType=application/vnd.openxmlformats-officedocument.spreadsheetml.worksheet+xml">
        <DigestMethod Algorithm="http://www.w3.org/2001/04/xmlenc#sha256"/>
        <DigestValue>aFIEkM4AsIf5Jr+th0fZRzZNRCUxw1hx4Ydk6w5TFLc=</DigestValue>
      </Reference>
      <Reference URI="/xl/worksheets/sheet9.xml?ContentType=application/vnd.openxmlformats-officedocument.spreadsheetml.worksheet+xml">
        <DigestMethod Algorithm="http://www.w3.org/2001/04/xmlenc#sha256"/>
        <DigestValue>pQMwfhVvSBZz/9vfDYzeLDWo5MZ7bSrUmNRHA21EHMc=</DigestValue>
      </Reference>
    </Manifest>
    <SignatureProperties>
      <SignatureProperty Id="idSignatureTime" Target="#idPackageSignature">
        <mdssi:SignatureTime xmlns:mdssi="http://schemas.openxmlformats.org/package/2006/digital-signature">
          <mdssi:Format>YYYY-MM-DDThh:mm:ssTZD</mdssi:Format>
          <mdssi:Value>2023-03-02T10:18:11Z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2023-03-02T10:18:11Z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g6a+8RrIfIEneOIHItBYJthH70WfrvkTptvzwD5l0pc=</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NA5QdnfhC4wddaamVYV1DpawOz+jrmBtvhX8rVadj10=</DigestValue>
    </Reference>
  </SignedInfo>
  <SignatureValue>ItR3nw4bGPzrmZEAp9++/oeRRfWS46Swp0V0NBTop+mttamUEmK6NvmS67NYzyY3GHaJ2gPVkIuB
WrLvkoNyp9dwycKMUYI+wAYSO/Yvn6ynVAht91hwlAluxJNpb1MzrHDP9quQuaA2IIdCj6IiUdUT
6jMGVF7D1qLpQyiko3agbyCqPxLVoxwal7hT1L0o5jPUS+lReyJ9iV3xfzJyv8iocxwrl4K9JvXi
nJfmpZh4/S1fFfdExFf6rnNAM5ZVatNFgvrrRwrkB2XmVFdd0nXf5EZhbYNwUWEiERYSHBTddfJY
sYy2oFx4XGxfeD0/BC+sWzRMEDaN40G1YF1AfA==</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iU3/vIncqrJwj8h/YdO3XehGSvz/l2In4N5ph8ZLRNI=</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kwHUwqHzYNvAEhYDNRMtSXZgGag5YsEUDNepML40Lto=</DigestValue>
      </Reference>
      <Reference URI="/xl/styles.xml?ContentType=application/vnd.openxmlformats-officedocument.spreadsheetml.styles+xml">
        <DigestMethod Algorithm="http://www.w3.org/2001/04/xmlenc#sha256"/>
        <DigestValue>lvONvnqS2iOfPW9G44EZzKE2FENfINQqTDVJbR4tCNo=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/2WDVZ0m/GweH8qR9Y0fVG4IjJjVYGQMj+nft0CjN7Q=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qzUlHMnsUIjuG1jLhKvPu86+Bx1QNGU7lTec0jzMc80=</DigestValue>
      </Reference>
      <Reference URI="/xl/worksheets/sheet10.xml?ContentType=application/vnd.openxmlformats-officedocument.spreadsheetml.worksheet+xml">
        <DigestMethod Algorithm="http://www.w3.org/2001/04/xmlenc#sha256"/>
        <DigestValue>+zsdDS93MJ2TF3xXLLIvY2GxPauzjfRsWAMA/mbt2Ao=</DigestValue>
      </Reference>
      <Reference URI="/xl/worksheets/sheet11.xml?ContentType=application/vnd.openxmlformats-officedocument.spreadsheetml.worksheet+xml">
        <DigestMethod Algorithm="http://www.w3.org/2001/04/xmlenc#sha256"/>
        <DigestValue>a4ivIh6d6V3SuUHDicI4+YE1LOs+uw2XNess3fx0x3w=</DigestValue>
      </Reference>
      <Reference URI="/xl/worksheets/sheet12.xml?ContentType=application/vnd.openxmlformats-officedocument.spreadsheetml.worksheet+xml">
        <DigestMethod Algorithm="http://www.w3.org/2001/04/xmlenc#sha256"/>
        <DigestValue>TAcGLPAgkFUBpWzzprRTv82p8mJJl/S23hF/IVErTYc=</DigestValue>
      </Reference>
      <Reference URI="/xl/worksheets/sheet13.xml?ContentType=application/vnd.openxmlformats-officedocument.spreadsheetml.worksheet+xml">
        <DigestMethod Algorithm="http://www.w3.org/2001/04/xmlenc#sha256"/>
        <DigestValue>48awhHBdPIqRXRkB8GdTonDP+ZkQWWg1l+yqQTP0750=</DigestValue>
      </Reference>
      <Reference URI="/xl/worksheets/sheet14.xml?ContentType=application/vnd.openxmlformats-officedocument.spreadsheetml.worksheet+xml">
        <DigestMethod Algorithm="http://www.w3.org/2001/04/xmlenc#sha256"/>
        <DigestValue>TCvqYpnSmW367+BwxQ20ByoENBnUj2S1vS85QZMAmEE=</DigestValue>
      </Reference>
      <Reference URI="/xl/worksheets/sheet15.xml?ContentType=application/vnd.openxmlformats-officedocument.spreadsheetml.worksheet+xml">
        <DigestMethod Algorithm="http://www.w3.org/2001/04/xmlenc#sha256"/>
        <DigestValue>WZVvDrrUHx1VbSagZA9HpYTzf3hQ7vNQi2bQzfN1Ytk=</DigestValue>
      </Reference>
      <Reference URI="/xl/worksheets/sheet16.xml?ContentType=application/vnd.openxmlformats-officedocument.spreadsheetml.worksheet+xml">
        <DigestMethod Algorithm="http://www.w3.org/2001/04/xmlenc#sha256"/>
        <DigestValue>+2AXV81PSm0ptC4C/kTBW8kmrqvI15LYL6m4anMpFUQ=</DigestValue>
      </Reference>
      <Reference URI="/xl/worksheets/sheet17.xml?ContentType=application/vnd.openxmlformats-officedocument.spreadsheetml.worksheet+xml">
        <DigestMethod Algorithm="http://www.w3.org/2001/04/xmlenc#sha256"/>
        <DigestValue>jDDkjiXTTlpIWl6xOZUcKB8gdzDzoZGaEsq9duOOoXw=</DigestValue>
      </Reference>
      <Reference URI="/xl/worksheets/sheet18.xml?ContentType=application/vnd.openxmlformats-officedocument.spreadsheetml.worksheet+xml">
        <DigestMethod Algorithm="http://www.w3.org/2001/04/xmlenc#sha256"/>
        <DigestValue>WbLViyQpBa/V11y8ZJqXM2T+vJoctpNjPTzWAn5aYbY=</DigestValue>
      </Reference>
      <Reference URI="/xl/worksheets/sheet19.xml?ContentType=application/vnd.openxmlformats-officedocument.spreadsheetml.worksheet+xml">
        <DigestMethod Algorithm="http://www.w3.org/2001/04/xmlenc#sha256"/>
        <DigestValue>NX40U6cjI+NXZ9PA1y9TIYkQLWI+3yTdVbAEG2X9ITQ=</DigestValue>
      </Reference>
      <Reference URI="/xl/worksheets/sheet2.xml?ContentType=application/vnd.openxmlformats-officedocument.spreadsheetml.worksheet+xml">
        <DigestMethod Algorithm="http://www.w3.org/2001/04/xmlenc#sha256"/>
        <DigestValue>eBON49pVvWFKMKliscljM8d4feoUK72sADS1R6+v2X0=</DigestValue>
      </Reference>
      <Reference URI="/xl/worksheets/sheet20.xml?ContentType=application/vnd.openxmlformats-officedocument.spreadsheetml.worksheet+xml">
        <DigestMethod Algorithm="http://www.w3.org/2001/04/xmlenc#sha256"/>
        <DigestValue>eTgdQLvRWA/5efk4AI+MGOhUguN+2t/qgYk6ONvPO9g=</DigestValue>
      </Reference>
      <Reference URI="/xl/worksheets/sheet21.xml?ContentType=application/vnd.openxmlformats-officedocument.spreadsheetml.worksheet+xml">
        <DigestMethod Algorithm="http://www.w3.org/2001/04/xmlenc#sha256"/>
        <DigestValue>/jgEfgVCMBYUw179GEt/FpmJgzddk0JtWJ1OmMPl6FY=</DigestValue>
      </Reference>
      <Reference URI="/xl/worksheets/sheet22.xml?ContentType=application/vnd.openxmlformats-officedocument.spreadsheetml.worksheet+xml">
        <DigestMethod Algorithm="http://www.w3.org/2001/04/xmlenc#sha256"/>
        <DigestValue>8WhlrSsOhSF1SGcyG8UrxKAIJ1KK2RTf1PksUchI8sA=</DigestValue>
      </Reference>
      <Reference URI="/xl/worksheets/sheet23.xml?ContentType=application/vnd.openxmlformats-officedocument.spreadsheetml.worksheet+xml">
        <DigestMethod Algorithm="http://www.w3.org/2001/04/xmlenc#sha256"/>
        <DigestValue>a9iYYt0IkUZ4X4WIzj6M0YGI4EpThSYDhPIh1flFyYY=</DigestValue>
      </Reference>
      <Reference URI="/xl/worksheets/sheet24.xml?ContentType=application/vnd.openxmlformats-officedocument.spreadsheetml.worksheet+xml">
        <DigestMethod Algorithm="http://www.w3.org/2001/04/xmlenc#sha256"/>
        <DigestValue>WD+PwkQwA5ljuwIg3UDD3APB3hT/wFKNdfD4zq9QIOg=</DigestValue>
      </Reference>
      <Reference URI="/xl/worksheets/sheet25.xml?ContentType=application/vnd.openxmlformats-officedocument.spreadsheetml.worksheet+xml">
        <DigestMethod Algorithm="http://www.w3.org/2001/04/xmlenc#sha256"/>
        <DigestValue>nr/vd3zZFNFUDq5wPSPs9rfm70ieLkKXoKDg4Dvf5tw=</DigestValue>
      </Reference>
      <Reference URI="/xl/worksheets/sheet26.xml?ContentType=application/vnd.openxmlformats-officedocument.spreadsheetml.worksheet+xml">
        <DigestMethod Algorithm="http://www.w3.org/2001/04/xmlenc#sha256"/>
        <DigestValue>CbpR8H1UmAB3hi8av49DJo1y/JuUdJr1c0WT2uuFbo8=</DigestValue>
      </Reference>
      <Reference URI="/xl/worksheets/sheet27.xml?ContentType=application/vnd.openxmlformats-officedocument.spreadsheetml.worksheet+xml">
        <DigestMethod Algorithm="http://www.w3.org/2001/04/xmlenc#sha256"/>
        <DigestValue>GfezPyndEdUaNq+Gqy2eE1B/1BYn/LXieljDe+kVtpo=</DigestValue>
      </Reference>
      <Reference URI="/xl/worksheets/sheet28.xml?ContentType=application/vnd.openxmlformats-officedocument.spreadsheetml.worksheet+xml">
        <DigestMethod Algorithm="http://www.w3.org/2001/04/xmlenc#sha256"/>
        <DigestValue>IGYPnlbQPSjAb1l0emKZUASkyRHa/zCh5L8k9d2P39Q=</DigestValue>
      </Reference>
      <Reference URI="/xl/worksheets/sheet29.xml?ContentType=application/vnd.openxmlformats-officedocument.spreadsheetml.worksheet+xml">
        <DigestMethod Algorithm="http://www.w3.org/2001/04/xmlenc#sha256"/>
        <DigestValue>e2tPvK/VN95OXSGPfWU6SJxMwBhct3huqAUjb1a+vHs=</DigestValue>
      </Reference>
      <Reference URI="/xl/worksheets/sheet3.xml?ContentType=application/vnd.openxmlformats-officedocument.spreadsheetml.worksheet+xml">
        <DigestMethod Algorithm="http://www.w3.org/2001/04/xmlenc#sha256"/>
        <DigestValue>MfMfL9WMGpjUr6GBy6QC/pjqNDkugrtMs4Escp2DrrY=</DigestValue>
      </Reference>
      <Reference URI="/xl/worksheets/sheet4.xml?ContentType=application/vnd.openxmlformats-officedocument.spreadsheetml.worksheet+xml">
        <DigestMethod Algorithm="http://www.w3.org/2001/04/xmlenc#sha256"/>
        <DigestValue>0hh/yLty/yubBgIZ3bOK5kWj1sP2A0b77b+Y+y5ttSo=</DigestValue>
      </Reference>
      <Reference URI="/xl/worksheets/sheet5.xml?ContentType=application/vnd.openxmlformats-officedocument.spreadsheetml.worksheet+xml">
        <DigestMethod Algorithm="http://www.w3.org/2001/04/xmlenc#sha256"/>
        <DigestValue>YR/dMPcMyZ+yrPZcJaAQPgRGLHhOteLDxup0TqKyn+s=</DigestValue>
      </Reference>
      <Reference URI="/xl/worksheets/sheet6.xml?ContentType=application/vnd.openxmlformats-officedocument.spreadsheetml.worksheet+xml">
        <DigestMethod Algorithm="http://www.w3.org/2001/04/xmlenc#sha256"/>
        <DigestValue>cauF5x/PlTy4nglX1T2AlNQpPLtpXsLbKqm3tmH2xRU=</DigestValue>
      </Reference>
      <Reference URI="/xl/worksheets/sheet7.xml?ContentType=application/vnd.openxmlformats-officedocument.spreadsheetml.worksheet+xml">
        <DigestMethod Algorithm="http://www.w3.org/2001/04/xmlenc#sha256"/>
        <DigestValue>WQTg7ebxSKasmNO++MHQ/DuDyAz2StImilgdfZyR394=</DigestValue>
      </Reference>
      <Reference URI="/xl/worksheets/sheet8.xml?ContentType=application/vnd.openxmlformats-officedocument.spreadsheetml.worksheet+xml">
        <DigestMethod Algorithm="http://www.w3.org/2001/04/xmlenc#sha256"/>
        <DigestValue>aFIEkM4AsIf5Jr+th0fZRzZNRCUxw1hx4Ydk6w5TFLc=</DigestValue>
      </Reference>
      <Reference URI="/xl/worksheets/sheet9.xml?ContentType=application/vnd.openxmlformats-officedocument.spreadsheetml.worksheet+xml">
        <DigestMethod Algorithm="http://www.w3.org/2001/04/xmlenc#sha256"/>
        <DigestValue>pQMwfhVvSBZz/9vfDYzeLDWo5MZ7bSrUmNRHA21EHMc=</DigestValue>
      </Reference>
    </Manifest>
    <SignatureProperties>
      <SignatureProperty Id="idSignatureTime" Target="#idPackageSignature">
        <mdssi:SignatureTime xmlns:mdssi="http://schemas.openxmlformats.org/package/2006/digital-signature">
          <mdssi:Format>YYYY-MM-DDThh:mm:ssTZD</mdssi:Format>
          <mdssi:Value>2023-03-02T10:18:45Z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2023-03-02T10:18:45Z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2023-02-28T08:23:57Z</dcterms:modified>
</cp:coreProperties>
</file>