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46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s>
  <externalReferences>
    <externalReference r:id="rId29"/>
    <externalReference r:id="rId30"/>
    <externalReference r:id="rId3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0">Info!$A$1:$C$34</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iterate="1"/>
</workbook>
</file>

<file path=xl/calcChain.xml><?xml version="1.0" encoding="utf-8"?>
<calcChain xmlns="http://schemas.openxmlformats.org/spreadsheetml/2006/main">
  <c r="B2" i="71" l="1"/>
  <c r="H60" i="53" l="1"/>
  <c r="H59" i="53"/>
  <c r="H58" i="53"/>
  <c r="E58" i="53" l="1"/>
  <c r="E59" i="53" l="1"/>
  <c r="E60" i="53"/>
  <c r="C22" i="74" l="1"/>
  <c r="C21" i="82" l="1"/>
  <c r="D22" i="81"/>
  <c r="E22" i="81"/>
  <c r="F22" i="81"/>
  <c r="G22" i="81"/>
  <c r="C22" i="81"/>
  <c r="B3" i="89" l="1"/>
  <c r="B3" i="88"/>
  <c r="B3" i="87"/>
  <c r="B3" i="86"/>
  <c r="B3" i="85"/>
  <c r="B3" i="84"/>
  <c r="B3" i="83"/>
  <c r="B3" i="82"/>
  <c r="B3" i="81"/>
  <c r="C10" i="85" l="1"/>
  <c r="C19" i="85" s="1"/>
  <c r="D12" i="84"/>
  <c r="C12" i="84"/>
  <c r="D7" i="84"/>
  <c r="C7" i="84"/>
  <c r="H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D19" i="84" l="1"/>
  <c r="C19" i="84"/>
  <c r="H22" i="81"/>
  <c r="I34" i="83"/>
  <c r="I21" i="82"/>
  <c r="B2" i="80"/>
  <c r="B1" i="80"/>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F8" i="80"/>
  <c r="E8" i="80"/>
  <c r="D8" i="80"/>
  <c r="C8" i="80"/>
  <c r="G37" i="80" l="1"/>
  <c r="G21" i="80"/>
  <c r="B2" i="79"/>
  <c r="B2" i="37"/>
  <c r="B2" i="36"/>
  <c r="B2" i="74"/>
  <c r="B2" i="64"/>
  <c r="B2" i="35"/>
  <c r="B2" i="69"/>
  <c r="B2" i="77"/>
  <c r="B2" i="28"/>
  <c r="B2" i="73"/>
  <c r="B2" i="72"/>
  <c r="B2" i="52"/>
  <c r="B2" i="75"/>
  <c r="B2" i="53"/>
  <c r="B2" i="62"/>
  <c r="G39" i="80" l="1"/>
  <c r="C5" i="6"/>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30" i="79" l="1"/>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5" i="74"/>
  <c r="H16"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F61" i="53" l="1"/>
  <c r="H61" i="53" s="1"/>
  <c r="C61" i="53"/>
  <c r="E61" i="53" s="1"/>
  <c r="G53" i="53"/>
  <c r="F53" i="53"/>
  <c r="D53" i="53"/>
  <c r="C53" i="53"/>
  <c r="G34" i="53"/>
  <c r="G45" i="53" s="1"/>
  <c r="F34" i="53"/>
  <c r="F45" i="53" s="1"/>
  <c r="F54" i="53" s="1"/>
  <c r="D34" i="53"/>
  <c r="D45" i="53" s="1"/>
  <c r="D54" i="53" s="1"/>
  <c r="C34" i="53"/>
  <c r="C45" i="53" s="1"/>
  <c r="C54" i="53" s="1"/>
  <c r="G54" i="53" l="1"/>
  <c r="G30" i="53"/>
  <c r="F30" i="53"/>
  <c r="D30" i="53"/>
  <c r="C30" i="53"/>
  <c r="G9" i="53"/>
  <c r="G22" i="53" s="1"/>
  <c r="F9" i="53"/>
  <c r="F22" i="53" s="1"/>
  <c r="D9" i="53"/>
  <c r="D22" i="53" s="1"/>
  <c r="C9" i="53"/>
  <c r="C22" i="53" s="1"/>
  <c r="D31" i="62"/>
  <c r="D41" i="62" s="1"/>
  <c r="C31" i="62"/>
  <c r="C41" i="62" s="1"/>
  <c r="C14" i="62"/>
  <c r="C20" i="62" s="1"/>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14" i="62"/>
  <c r="F20" i="62" s="1"/>
  <c r="G14" i="62"/>
  <c r="G20" i="62" s="1"/>
  <c r="D14" i="62"/>
  <c r="D20" i="62" s="1"/>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1" i="62"/>
  <c r="E12" i="62"/>
  <c r="E13" i="62"/>
  <c r="E14" i="62"/>
  <c r="E15" i="62"/>
  <c r="E16" i="62"/>
  <c r="E17" i="62"/>
  <c r="E18" i="62"/>
  <c r="E19" i="62"/>
  <c r="E20" i="62"/>
  <c r="E7" i="62"/>
  <c r="C45" i="69" l="1"/>
  <c r="C37" i="69"/>
  <c r="C25" i="69"/>
</calcChain>
</file>

<file path=xl/sharedStrings.xml><?xml version="1.0" encoding="utf-8"?>
<sst xmlns="http://schemas.openxmlformats.org/spreadsheetml/2006/main" count="1135" uniqueCount="744">
  <si>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</si>
  <si>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</si>
  <si>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</si>
  <si>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</si>
  <si>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</si>
  <si>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</si>
  <si>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</si>
  <si>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</si>
  <si>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</si>
  <si>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</si>
  <si>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</si>
  <si>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</si>
  <si>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</si>
  <si>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</si>
  <si>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</si>
  <si>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</si>
  <si>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</si>
  <si>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</si>
  <si>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</si>
  <si>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</si>
  <si>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</si>
  <si>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</si>
  <si>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</si>
  <si>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</si>
  <si>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</si>
  <si>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</si>
  <si>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</si>
  <si>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</si>
  <si>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</si>
  <si>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</si>
  <si>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</si>
  <si>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</si>
  <si>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</si>
  <si>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</si>
  <si>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</si>
  <si>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</si>
  <si>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</si>
  <si>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</si>
  <si>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</si>
  <si>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</si>
  <si>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</si>
  <si>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</si>
  <si>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</si>
  <si>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</si>
  <si>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</si>
  <si>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</si>
  <si>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</si>
  <si>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</si>
  <si>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</si>
  <si>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</si>
  <si>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</si>
  <si>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</si>
  <si>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</si>
  <si>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</si>
  <si>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</si>
  <si>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</si>
  <si>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</si>
  <si>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</si>
  <si>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</si>
  <si>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</si>
  <si>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</si>
  <si>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</si>
  <si>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</si>
  <si>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</si>
  <si>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</si>
  <si>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</si>
  <si>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</si>
  <si>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</si>
  <si>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</si>
  <si>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</si>
  <si>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</si>
  <si>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</si>
  <si>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</si>
  <si>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</si>
  <si>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</si>
  <si>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</si>
  <si>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</si>
  <si>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</si>
  <si>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</si>
  <si>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</si>
  <si>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</si>
  <si>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</si>
  <si>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</si>
  <si>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</si>
  <si>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</si>
  <si>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</si>
  <si>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</si>
  <si>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</si>
  <si>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</si>
  <si>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</si>
  <si>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</si>
  <si>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</si>
  <si>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</si>
  <si>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</si>
  <si>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</si>
  <si>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</si>
  <si>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</si>
  <si>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</si>
  <si>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</si>
  <si>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</si>
  <si>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</si>
  <si>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</si>
  <si>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</si>
  <si>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</si>
  <si>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</si>
  <si>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</si>
  <si>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</si>
  <si>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</si>
  <si>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</si>
  <si>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</si>
  <si>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</si>
  <si>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</si>
  <si>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</si>
  <si>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</si>
  <si>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</si>
  <si>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</si>
  <si>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</si>
  <si>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</si>
  <si>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</si>
  <si>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</si>
  <si>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</si>
  <si>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</si>
  <si>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</si>
  <si>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</si>
  <si>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</si>
  <si>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</si>
  <si>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</si>
  <si>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</si>
  <si>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</si>
  <si>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</si>
  <si>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</si>
  <si>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</si>
  <si>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</si>
  <si>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</si>
  <si>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</si>
  <si>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</si>
  <si>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</si>
  <si>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</si>
  <si>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</si>
  <si>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</si>
  <si>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</si>
  <si>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</si>
  <si>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</si>
  <si>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</si>
  <si>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</si>
  <si>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</si>
  <si>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</si>
  <si>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</si>
  <si>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</si>
  <si>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</si>
  <si>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</si>
  <si>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</si>
  <si>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</si>
  <si>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</si>
  <si>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</si>
  <si>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</si>
  <si>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</si>
  <si>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</si>
  <si>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</si>
  <si>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</si>
  <si>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</si>
  <si>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</si>
  <si>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</si>
  <si>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</si>
  <si>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</si>
  <si>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</si>
  <si>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</si>
  <si>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</si>
  <si>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</si>
  <si>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</si>
  <si>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</si>
  <si>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</si>
  <si>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</si>
  <si>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</si>
  <si>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</si>
  <si>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</si>
  <si>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</si>
  <si>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</si>
  <si>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</si>
  <si>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</si>
  <si>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</si>
  <si>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</si>
  <si>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</si>
  <si>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</si>
  <si>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</si>
  <si>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</si>
  <si>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</si>
  <si>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</si>
  <si>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</si>
  <si>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</si>
  <si>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</si>
  <si>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</si>
  <si>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</si>
  <si>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</si>
  <si>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</si>
  <si>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</si>
  <si>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</si>
  <si>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</si>
  <si>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</si>
  <si>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</si>
  <si>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</si>
  <si>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</si>
  <si>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</si>
  <si>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</si>
  <si>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</si>
  <si>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</si>
  <si>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</si>
  <si>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</si>
  <si>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</si>
  <si>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</si>
  <si>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</si>
  <si>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</si>
  <si>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</si>
  <si>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</si>
  <si>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</si>
  <si>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</si>
  <si>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</si>
  <si>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</si>
  <si>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</si>
  <si>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</si>
  <si>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</si>
  <si>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</si>
  <si>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</si>
  <si>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</si>
  <si>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</si>
  <si>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</si>
  <si>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</si>
  <si>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</si>
  <si>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</si>
  <si>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</si>
  <si>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</si>
  <si>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</si>
  <si>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</si>
  <si>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</si>
  <si>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</si>
  <si>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</si>
  <si>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</si>
  <si>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</si>
  <si>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</si>
  <si>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</si>
  <si>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</si>
  <si>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</si>
  <si>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</si>
  <si>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</si>
  <si>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</si>
  <si>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</si>
  <si>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</si>
  <si>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</si>
  <si>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</si>
  <si>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</si>
  <si>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</si>
  <si>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</si>
  <si>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</si>
  <si>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</si>
  <si>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</si>
  <si>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</si>
  <si>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</si>
  <si>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</si>
  <si>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</si>
  <si>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</si>
  <si>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</si>
  <si>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</si>
  <si>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</si>
  <si>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</si>
  <si>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</si>
  <si>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</si>
  <si>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</si>
  <si>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</si>
  <si>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</si>
  <si>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</si>
  <si>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</si>
  <si>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</si>
  <si>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</si>
  <si>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</si>
  <si>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</si>
  <si>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</si>
  <si>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</si>
  <si>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</si>
  <si>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</si>
  <si>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</si>
  <si>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</si>
  <si>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</si>
  <si>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</si>
  <si>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</si>
  <si>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</si>
  <si>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</si>
  <si>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</si>
  <si>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</si>
  <si>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</si>
  <si>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</si>
  <si>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</si>
  <si>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</si>
  <si>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</si>
  <si>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</si>
  <si>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</si>
  <si>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</si>
  <si>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</si>
  <si>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</si>
  <si>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</si>
  <si>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</si>
  <si>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</si>
  <si>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</si>
  <si>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</si>
  <si>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</si>
  <si>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</si>
  <si>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</si>
  <si>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</si>
  <si>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</si>
  <si>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</si>
  <si>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</si>
  <si>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</si>
  <si>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</si>
  <si>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</si>
  <si>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</si>
  <si>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</si>
  <si>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</si>
  <si>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</si>
  <si>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</si>
  <si>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</si>
  <si>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</si>
  <si>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</si>
  <si>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</si>
  <si>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</si>
  <si>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</si>
  <si>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</si>
  <si>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</si>
  <si>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</si>
  <si>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</si>
  <si>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</si>
  <si>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</si>
  <si>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</si>
  <si>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</si>
  <si>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</si>
  <si>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</si>
  <si>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</si>
  <si>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</si>
  <si>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</si>
  <si>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</si>
  <si>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</si>
  <si>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</si>
  <si>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</si>
  <si>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</si>
  <si>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</si>
  <si>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</si>
  <si>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</si>
  <si>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</si>
  <si>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</si>
  <si>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</si>
  <si>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</si>
  <si>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</si>
  <si>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</si>
  <si>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</si>
  <si>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</si>
  <si>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</si>
  <si>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</si>
  <si>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</si>
  <si>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</si>
  <si>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</si>
  <si>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</si>
  <si>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</si>
  <si>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</si>
  <si>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</si>
  <si>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</si>
  <si>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</si>
  <si>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</si>
  <si>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</si>
  <si>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</si>
  <si>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</si>
  <si>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</si>
  <si>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</si>
  <si>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</si>
  <si>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</si>
  <si>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</si>
  <si>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</si>
  <si>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</si>
  <si>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</si>
  <si>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</si>
  <si>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</si>
  <si>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</si>
  <si>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</si>
  <si>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</si>
  <si>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</si>
  <si>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</si>
  <si>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</si>
  <si>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</si>
  <si>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</si>
  <si>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</si>
  <si>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</si>
  <si>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</si>
  <si>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</si>
  <si>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</si>
  <si>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</si>
  <si>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</si>
  <si>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</si>
  <si>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</si>
  <si>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</si>
  <si>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</si>
  <si>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</si>
  <si>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</si>
  <si>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</si>
  <si>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</si>
  <si>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</si>
  <si>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</si>
  <si>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</si>
  <si>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</si>
  <si>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</si>
  <si>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</si>
  <si>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</si>
  <si>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</si>
  <si>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</si>
  <si>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</si>
  <si>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</si>
  <si>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</si>
  <si>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</si>
  <si>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</si>
  <si>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</si>
  <si>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</si>
  <si>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</si>
  <si>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</si>
  <si>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</si>
  <si>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</si>
  <si>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</si>
  <si>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</si>
  <si>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</si>
  <si>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</si>
  <si>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</si>
  <si>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</si>
  <si>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</si>
  <si>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</si>
  <si>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</si>
  <si>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</si>
  <si>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</si>
  <si>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</si>
  <si>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</si>
  <si>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</si>
  <si>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</si>
  <si>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</si>
  <si>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</si>
  <si>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</si>
  <si>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</si>
  <si>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</si>
  <si>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</si>
  <si>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</si>
  <si>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</si>
  <si>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</si>
  <si>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</si>
  <si>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</si>
  <si>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</si>
  <si>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</si>
  <si>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</si>
  <si>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</si>
  <si>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</si>
  <si>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</si>
  <si>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</si>
  <si>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</si>
  <si>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</si>
  <si>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</si>
  <si>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</si>
  <si>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</si>
  <si>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</si>
  <si>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</si>
  <si>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</si>
  <si>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</si>
  <si>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</si>
  <si>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</si>
  <si>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</si>
  <si>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</si>
  <si>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</si>
  <si>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</si>
  <si>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</si>
  <si>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</si>
  <si>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</si>
  <si>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</si>
  <si>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</si>
  <si>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</si>
  <si>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</si>
  <si>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</si>
  <si>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</si>
  <si>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</si>
  <si>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</si>
  <si>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</si>
  <si>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</si>
  <si>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</si>
  <si>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</si>
  <si>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</si>
  <si>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</si>
  <si>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</si>
  <si>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</si>
  <si>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</si>
  <si>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</si>
  <si>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</si>
  <si>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</si>
  <si>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</si>
  <si>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</si>
  <si>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</si>
  <si>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</si>
  <si>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</si>
  <si>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</si>
  <si>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</si>
  <si>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</si>
  <si>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</si>
  <si>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</si>
  <si>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</si>
  <si>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</si>
  <si>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</si>
  <si>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</si>
  <si>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</si>
  <si>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</si>
  <si>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</si>
  <si>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</si>
  <si>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</si>
  <si>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</si>
  <si>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</si>
  <si>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</si>
  <si>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</si>
  <si>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</si>
  <si>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</si>
  <si>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</si>
  <si>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</si>
  <si>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</si>
  <si>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</si>
  <si>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</si>
  <si>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</si>
  <si>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</si>
  <si>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</si>
  <si>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</si>
  <si>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</si>
  <si>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</si>
  <si>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</si>
  <si>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</si>
  <si>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</si>
  <si>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</si>
  <si>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</si>
  <si>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</si>
  <si>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</si>
  <si>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</si>
  <si>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</si>
  <si>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</si>
  <si>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</si>
  <si>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</si>
  <si>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</si>
  <si>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</si>
  <si>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</si>
  <si>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</si>
  <si>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</si>
  <si>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</si>
  <si>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</si>
  <si>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</si>
  <si>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</si>
  <si>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</si>
  <si>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</si>
  <si>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</si>
  <si>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</si>
  <si>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</si>
  <si>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</si>
  <si>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</si>
  <si>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</si>
  <si>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</si>
  <si>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</si>
  <si>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</si>
  <si>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</si>
  <si>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</si>
  <si>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</si>
  <si>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</si>
  <si>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</si>
  <si>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</si>
  <si>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</si>
  <si>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</si>
  <si>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</si>
  <si>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</si>
  <si>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</si>
  <si>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</si>
  <si>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</si>
  <si>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</si>
  <si>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</si>
  <si>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</si>
  <si>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</si>
  <si>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</si>
  <si>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</si>
  <si>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</si>
  <si>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</si>
  <si>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</si>
  <si>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</si>
  <si>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</si>
  <si>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</si>
  <si>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</si>
  <si>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</si>
  <si>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</si>
  <si>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</si>
  <si>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</si>
  <si>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</si>
  <si>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</si>
  <si>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</si>
  <si>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</si>
  <si>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</si>
  <si>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</si>
  <si>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</si>
  <si>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</si>
  <si>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</si>
  <si>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</si>
  <si>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</si>
  <si>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</si>
  <si>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</si>
  <si>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</si>
  <si>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</si>
  <si>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</si>
  <si>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</si>
  <si>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</si>
  <si>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</si>
  <si>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</si>
  <si>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</si>
  <si>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</si>
  <si>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</si>
  <si>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</si>
  <si>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</si>
  <si>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</si>
  <si>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</si>
  <si>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</si>
  <si>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</si>
  <si>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</si>
  <si>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</si>
  <si>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</si>
  <si>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</si>
  <si>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</si>
  <si>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</si>
  <si>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</si>
  <si>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</si>
  <si>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</si>
  <si>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</si>
  <si>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</si>
  <si>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</si>
  <si>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</si>
  <si>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</si>
  <si>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</si>
  <si>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</si>
  <si>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</si>
  <si>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</si>
  <si>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</si>
  <si>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</si>
  <si>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</si>
  <si>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</si>
  <si>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</si>
  <si>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</si>
  <si>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</si>
  <si>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</si>
  <si>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</si>
  <si>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</si>
  <si>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</si>
  <si>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</si>
  <si>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</si>
  <si>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</si>
  <si>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</si>
  <si>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</si>
  <si>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</si>
  <si>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</si>
  <si>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</si>
  <si>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</si>
  <si>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</si>
  <si>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</si>
  <si>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</si>
  <si>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</si>
  <si>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</si>
  <si>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</si>
  <si>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</si>
  <si>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</si>
  <si>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</si>
  <si>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</si>
  <si>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</si>
  <si>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</si>
  <si>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</si>
  <si>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</si>
  <si>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</si>
  <si>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</si>
  <si>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</si>
  <si>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</si>
  <si>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</si>
  <si>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</si>
  <si>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</si>
  <si>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</si>
  <si>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</si>
  <si>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</si>
  <si>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</si>
  <si>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</si>
  <si>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</si>
  <si>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</si>
  <si>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</si>
  <si>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</si>
  <si>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</si>
  <si>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</si>
  <si>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</si>
  <si>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</si>
  <si>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</si>
  <si>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</si>
  <si>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</si>
  <si>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</si>
  <si>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</si>
  <si>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</si>
  <si>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</si>
  <si>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</si>
  <si>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</si>
  <si>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</si>
  <si>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</si>
  <si>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</si>
  <si>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</si>
  <si>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</si>
  <si>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</si>
  <si>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</si>
  <si>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</si>
  <si>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</si>
  <si>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</si>
  <si>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</si>
  <si>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</si>
  <si>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</si>
  <si>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</si>
  <si>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</si>
  <si>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</si>
  <si>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</si>
  <si>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ს.ს. "ტერაბანკი"</t>
  </si>
  <si>
    <t>შეიხი ნაჰაიან მაბარაკ ალ ნაჰაიანი</t>
  </si>
  <si>
    <t>თეა ლორთქიფანიძე</t>
  </si>
  <si>
    <t>www.terabank.ge</t>
  </si>
  <si>
    <t>X</t>
  </si>
  <si>
    <t>არადამოუკიდებელი თავმჯდომარე</t>
  </si>
  <si>
    <t>შეიხი საიფ მოჰამედ ბინ ბუტი ალ ჰამედ</t>
  </si>
  <si>
    <t>არადამოუკიდებელ წევრი</t>
  </si>
  <si>
    <t>სემი ედვარდ ადამ ხალილ</t>
  </si>
  <si>
    <t>სეითი დევდარიანი</t>
  </si>
  <si>
    <t>დამოუკიდებელი წევრი</t>
  </si>
  <si>
    <t>ხირთ რულოფ დე კორტე</t>
  </si>
  <si>
    <t>ნანა მიქაშავიძე</t>
  </si>
  <si>
    <t xml:space="preserve">თეა ლორთქიფანიძე </t>
  </si>
  <si>
    <t>გენერალური დირექტორი</t>
  </si>
  <si>
    <t>სოფიო ჯუღელი</t>
  </si>
  <si>
    <t>ფინანსური დირექტორი</t>
  </si>
  <si>
    <t xml:space="preserve">თეიმურაზ აბულაძე </t>
  </si>
  <si>
    <t>რისკების დირექტორი</t>
  </si>
  <si>
    <t>ვახტანგ ხუციშვილი</t>
  </si>
  <si>
    <t>ოპერაციების დირექტორი</t>
  </si>
  <si>
    <t>დავით ვერულაშვილი</t>
  </si>
  <si>
    <t>კომერციული დირექტორი</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</si>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</sst>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2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168" fontId="96" fillId="0" borderId="94" applyNumberFormat="0" applyFill="0" applyAlignment="0" applyProtection="0"/>
    <xf numFmtId="169" fontId="96"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9"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68" fontId="96"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0" fontId="49" fillId="0" borderId="94" applyNumberFormat="0" applyFill="0" applyAlignment="0" applyProtection="0"/>
    <xf numFmtId="188" fontId="2" fillId="70" borderId="88" applyFont="0">
      <alignment horizontal="right" vertical="center"/>
    </xf>
    <xf numFmtId="3" fontId="2" fillId="70" borderId="88" applyFont="0">
      <alignment horizontal="right" vertical="center"/>
    </xf>
    <xf numFmtId="0" fontId="85"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168" fontId="87" fillId="64" borderId="93" applyNumberFormat="0" applyAlignment="0" applyProtection="0"/>
    <xf numFmtId="169" fontId="87"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9"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168" fontId="87"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0" fontId="85" fillId="64" borderId="93" applyNumberFormat="0" applyAlignment="0" applyProtection="0"/>
    <xf numFmtId="3" fontId="2" fillId="75" borderId="88" applyFont="0">
      <alignment horizontal="right" vertical="center"/>
      <protection locked="0"/>
    </xf>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0" fontId="29" fillId="74" borderId="92" applyNumberFormat="0" applyFont="0" applyAlignment="0" applyProtection="0"/>
    <xf numFmtId="3" fontId="2" fillId="72" borderId="88" applyFont="0">
      <alignment horizontal="right" vertical="center"/>
      <protection locked="0"/>
    </xf>
    <xf numFmtId="0" fontId="68"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168" fontId="70" fillId="43" borderId="91" applyNumberFormat="0" applyAlignment="0" applyProtection="0"/>
    <xf numFmtId="169" fontId="70"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9"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168" fontId="70"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68" fillId="43" borderId="91" applyNumberFormat="0" applyAlignment="0" applyProtection="0"/>
    <xf numFmtId="0" fontId="2" fillId="71" borderId="89" applyNumberFormat="0" applyFont="0" applyBorder="0" applyProtection="0">
      <alignment horizontal="left" vertical="center"/>
    </xf>
    <xf numFmtId="9" fontId="2" fillId="71" borderId="88" applyFont="0" applyProtection="0">
      <alignment horizontal="right" vertical="center"/>
    </xf>
    <xf numFmtId="3" fontId="2" fillId="71" borderId="88" applyFont="0" applyProtection="0">
      <alignment horizontal="right" vertical="center"/>
    </xf>
    <xf numFmtId="0" fontId="64" fillId="70" borderId="89" applyFont="0" applyBorder="0">
      <alignment horizontal="center" wrapText="1"/>
    </xf>
    <xf numFmtId="168" fontId="56" fillId="0" borderId="86">
      <alignment horizontal="left" vertical="center"/>
    </xf>
    <xf numFmtId="0" fontId="56" fillId="0" borderId="86">
      <alignment horizontal="left" vertical="center"/>
    </xf>
    <xf numFmtId="0" fontId="56" fillId="0" borderId="86">
      <alignment horizontal="left" vertical="center"/>
    </xf>
    <xf numFmtId="0" fontId="2" fillId="69" borderId="88" applyNumberFormat="0" applyFont="0" applyBorder="0" applyProtection="0">
      <alignment horizontal="center" vertical="center"/>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38" fillId="0" borderId="88" applyNumberFormat="0" applyAlignment="0">
      <alignment horizontal="right"/>
      <protection locked="0"/>
    </xf>
    <xf numFmtId="0" fontId="40"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168" fontId="42" fillId="64" borderId="91" applyNumberFormat="0" applyAlignment="0" applyProtection="0"/>
    <xf numFmtId="169" fontId="42"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9"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168" fontId="42"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40" fillId="64" borderId="91"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77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4" fillId="36" borderId="17" xfId="0" applyNumberFormat="1" applyFont="1" applyFill="1" applyBorder="1" applyAlignment="1">
      <alignment vertical="center"/>
    </xf>
    <xf numFmtId="193" fontId="24" fillId="36" borderId="64" xfId="0" applyNumberFormat="1" applyFont="1" applyFill="1" applyBorder="1" applyAlignment="1">
      <alignment vertical="center"/>
    </xf>
    <xf numFmtId="193" fontId="4" fillId="36" borderId="26"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9" fillId="0" borderId="3" xfId="1"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81" xfId="20" applyBorder="1"/>
    <xf numFmtId="0" fontId="4" fillId="0" borderId="7" xfId="0" applyFont="1" applyFill="1" applyBorder="1" applyAlignment="1">
      <alignment vertical="center"/>
    </xf>
    <xf numFmtId="0" fontId="4" fillId="0" borderId="88" xfId="0" applyFont="1" applyFill="1" applyBorder="1" applyAlignment="1">
      <alignment vertical="center"/>
    </xf>
    <xf numFmtId="0" fontId="6" fillId="0" borderId="88" xfId="0" applyFont="1" applyFill="1" applyBorder="1" applyAlignment="1">
      <alignment vertical="center"/>
    </xf>
    <xf numFmtId="0" fontId="4" fillId="0" borderId="20" xfId="0" applyFont="1" applyFill="1" applyBorder="1" applyAlignment="1">
      <alignment vertical="center"/>
    </xf>
    <xf numFmtId="0" fontId="4" fillId="0" borderId="83" xfId="0" applyFont="1" applyFill="1" applyBorder="1" applyAlignment="1">
      <alignment vertical="center"/>
    </xf>
    <xf numFmtId="0" fontId="4" fillId="0" borderId="85" xfId="0" applyFont="1" applyFill="1" applyBorder="1" applyAlignment="1">
      <alignment vertical="center"/>
    </xf>
    <xf numFmtId="0" fontId="4" fillId="0" borderId="19"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8" xfId="0" applyFont="1" applyFill="1" applyBorder="1" applyAlignment="1">
      <alignment horizontal="center" vertical="center"/>
    </xf>
    <xf numFmtId="169" fontId="28" fillId="37" borderId="34" xfId="20" applyBorder="1"/>
    <xf numFmtId="169" fontId="28" fillId="37" borderId="100" xfId="20" applyBorder="1"/>
    <xf numFmtId="169" fontId="28" fillId="37" borderId="9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86" xfId="0" applyFont="1" applyFill="1" applyBorder="1" applyAlignment="1">
      <alignment vertical="center"/>
    </xf>
    <xf numFmtId="0" fontId="14" fillId="3" borderId="101" xfId="0" applyFont="1" applyFill="1" applyBorder="1" applyAlignment="1">
      <alignment horizontal="left"/>
    </xf>
    <xf numFmtId="0" fontId="14" fillId="3" borderId="102" xfId="0" applyFont="1" applyFill="1" applyBorder="1" applyAlignment="1">
      <alignment horizontal="left"/>
    </xf>
    <xf numFmtId="0" fontId="4" fillId="0" borderId="0" xfId="0" applyFont="1"/>
    <xf numFmtId="0" fontId="4" fillId="0" borderId="0" xfId="0" applyFont="1" applyFill="1"/>
    <xf numFmtId="0" fontId="4" fillId="0" borderId="88"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6" fillId="3" borderId="104" xfId="0" applyFont="1" applyFill="1" applyBorder="1" applyAlignment="1">
      <alignment vertical="center"/>
    </xf>
    <xf numFmtId="0" fontId="4" fillId="3" borderId="24" xfId="0" applyFont="1" applyFill="1" applyBorder="1" applyAlignment="1">
      <alignment vertical="center"/>
    </xf>
    <xf numFmtId="0" fontId="4" fillId="0" borderId="105"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05" xfId="0" applyBorder="1"/>
    <xf numFmtId="0" fontId="0" fillId="0" borderId="105" xfId="0" applyBorder="1" applyAlignment="1">
      <alignment horizontal="center"/>
    </xf>
    <xf numFmtId="0" fontId="4" fillId="0" borderId="87" xfId="0" applyFont="1" applyBorder="1" applyAlignment="1">
      <alignment vertical="center" wrapText="1"/>
    </xf>
    <xf numFmtId="167" fontId="4" fillId="0" borderId="88" xfId="0" applyNumberFormat="1" applyFont="1" applyBorder="1" applyAlignment="1">
      <alignment horizontal="center" vertical="center"/>
    </xf>
    <xf numFmtId="167" fontId="4" fillId="0" borderId="103" xfId="0" applyNumberFormat="1" applyFont="1" applyBorder="1" applyAlignment="1">
      <alignment horizontal="center" vertical="center"/>
    </xf>
    <xf numFmtId="167" fontId="14" fillId="0" borderId="88" xfId="0" applyNumberFormat="1" applyFont="1" applyBorder="1" applyAlignment="1">
      <alignment horizontal="center" vertical="center"/>
    </xf>
    <xf numFmtId="0" fontId="14" fillId="0" borderId="87" xfId="0" applyFont="1" applyBorder="1" applyAlignment="1">
      <alignment vertical="center" wrapText="1"/>
    </xf>
    <xf numFmtId="0" fontId="0" fillId="0" borderId="25" xfId="0" applyBorder="1"/>
    <xf numFmtId="0" fontId="6" fillId="36" borderId="10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5" xfId="0" applyFont="1" applyFill="1" applyBorder="1" applyAlignment="1">
      <alignment horizontal="left" vertical="center" wrapText="1"/>
    </xf>
    <xf numFmtId="0" fontId="6" fillId="36" borderId="88" xfId="0" applyFont="1" applyFill="1" applyBorder="1" applyAlignment="1">
      <alignment horizontal="left" vertical="center" wrapText="1"/>
    </xf>
    <xf numFmtId="0" fontId="6" fillId="36" borderId="103" xfId="0" applyFont="1" applyFill="1" applyBorder="1" applyAlignment="1">
      <alignment horizontal="left" vertical="center" wrapText="1"/>
    </xf>
    <xf numFmtId="0" fontId="4" fillId="0" borderId="105" xfId="0" applyFont="1" applyFill="1" applyBorder="1" applyAlignment="1">
      <alignment horizontal="right" vertical="center" wrapText="1"/>
    </xf>
    <xf numFmtId="0" fontId="4" fillId="0" borderId="88" xfId="0" applyFont="1" applyFill="1" applyBorder="1" applyAlignment="1">
      <alignment horizontal="left" vertical="center" wrapText="1"/>
    </xf>
    <xf numFmtId="0" fontId="108" fillId="0" borderId="105" xfId="0" applyFont="1" applyFill="1" applyBorder="1" applyAlignment="1">
      <alignment horizontal="right" vertical="center" wrapText="1"/>
    </xf>
    <xf numFmtId="0" fontId="108" fillId="0" borderId="88" xfId="0" applyFont="1" applyFill="1" applyBorder="1" applyAlignment="1">
      <alignment horizontal="left" vertical="center" wrapText="1"/>
    </xf>
    <xf numFmtId="0" fontId="6" fillId="0" borderId="10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5" xfId="5" applyNumberFormat="1" applyFont="1" applyFill="1" applyBorder="1" applyAlignment="1" applyProtection="1">
      <alignment horizontal="left" vertical="center"/>
      <protection locked="0"/>
    </xf>
    <xf numFmtId="0" fontId="110" fillId="0" borderId="26" xfId="9" applyFont="1" applyFill="1" applyBorder="1" applyAlignment="1" applyProtection="1">
      <alignment horizontal="left" vertical="center" wrapText="1"/>
      <protection locked="0"/>
    </xf>
    <xf numFmtId="0" fontId="22" fillId="0" borderId="105" xfId="0" applyFont="1" applyBorder="1" applyAlignment="1">
      <alignment horizontal="center" vertical="center" wrapText="1"/>
    </xf>
    <xf numFmtId="3" fontId="23" fillId="36" borderId="88" xfId="0" applyNumberFormat="1" applyFont="1" applyFill="1" applyBorder="1" applyAlignment="1">
      <alignment vertical="center" wrapText="1"/>
    </xf>
    <xf numFmtId="3" fontId="23" fillId="36" borderId="103" xfId="0" applyNumberFormat="1" applyFont="1" applyFill="1" applyBorder="1" applyAlignment="1">
      <alignment vertical="center" wrapText="1"/>
    </xf>
    <xf numFmtId="14" fontId="7" fillId="3" borderId="88" xfId="8" quotePrefix="1" applyNumberFormat="1" applyFont="1" applyFill="1" applyBorder="1" applyAlignment="1" applyProtection="1">
      <alignment horizontal="left" vertical="center" wrapText="1" indent="2"/>
      <protection locked="0"/>
    </xf>
    <xf numFmtId="3" fontId="23" fillId="0" borderId="88" xfId="0" applyNumberFormat="1" applyFont="1" applyBorder="1" applyAlignment="1">
      <alignment vertical="center" wrapText="1"/>
    </xf>
    <xf numFmtId="14" fontId="7" fillId="3" borderId="88" xfId="8" quotePrefix="1" applyNumberFormat="1" applyFont="1" applyFill="1" applyBorder="1" applyAlignment="1" applyProtection="1">
      <alignment horizontal="left" vertical="center" wrapText="1" indent="3"/>
      <protection locked="0"/>
    </xf>
    <xf numFmtId="3" fontId="23" fillId="0" borderId="88" xfId="0" applyNumberFormat="1" applyFont="1" applyFill="1" applyBorder="1" applyAlignment="1">
      <alignment vertical="center" wrapText="1"/>
    </xf>
    <xf numFmtId="0" fontId="11" fillId="0" borderId="88" xfId="17" applyFill="1" applyBorder="1" applyAlignment="1" applyProtection="1"/>
    <xf numFmtId="49" fontId="108" fillId="0" borderId="105" xfId="0" applyNumberFormat="1" applyFont="1" applyFill="1" applyBorder="1" applyAlignment="1">
      <alignment horizontal="right" vertical="center" wrapText="1"/>
    </xf>
    <xf numFmtId="0" fontId="7" fillId="3" borderId="88" xfId="20960" applyFont="1" applyFill="1" applyBorder="1" applyAlignment="1" applyProtection="1"/>
    <xf numFmtId="0" fontId="105" fillId="0" borderId="88" xfId="20960" applyFont="1" applyFill="1" applyBorder="1" applyAlignment="1" applyProtection="1">
      <alignment horizontal="center" vertical="center"/>
    </xf>
    <xf numFmtId="0" fontId="4" fillId="0" borderId="88" xfId="0" applyFont="1" applyBorder="1"/>
    <xf numFmtId="0" fontId="11" fillId="0" borderId="88" xfId="17" applyFill="1" applyBorder="1" applyAlignment="1" applyProtection="1">
      <alignment horizontal="left" vertical="center" wrapText="1"/>
    </xf>
    <xf numFmtId="49" fontId="108" fillId="0" borderId="88" xfId="0" applyNumberFormat="1" applyFont="1" applyFill="1" applyBorder="1" applyAlignment="1">
      <alignment horizontal="right" vertical="center" wrapText="1"/>
    </xf>
    <xf numFmtId="0" fontId="11" fillId="0" borderId="88" xfId="17" applyFill="1" applyBorder="1" applyAlignment="1" applyProtection="1">
      <alignment horizontal="left" vertical="center"/>
    </xf>
    <xf numFmtId="0" fontId="11" fillId="0" borderId="88" xfId="17" applyBorder="1" applyAlignment="1" applyProtection="1"/>
    <xf numFmtId="0" fontId="4" fillId="0" borderId="88" xfId="0" applyFont="1" applyFill="1" applyBorder="1"/>
    <xf numFmtId="0" fontId="22" fillId="0" borderId="105" xfId="0" applyFont="1" applyFill="1" applyBorder="1" applyAlignment="1">
      <alignment horizontal="center" vertical="center" wrapText="1"/>
    </xf>
    <xf numFmtId="0" fontId="111" fillId="77" borderId="89" xfId="21412" applyFont="1" applyFill="1" applyBorder="1" applyAlignment="1" applyProtection="1">
      <alignment vertical="center" wrapText="1"/>
      <protection locked="0"/>
    </xf>
    <xf numFmtId="0" fontId="112" fillId="70" borderId="83" xfId="21412" applyFont="1" applyFill="1" applyBorder="1" applyAlignment="1" applyProtection="1">
      <alignment horizontal="center" vertical="center"/>
      <protection locked="0"/>
    </xf>
    <xf numFmtId="0" fontId="111" fillId="78" borderId="88" xfId="21412" applyFont="1" applyFill="1" applyBorder="1" applyAlignment="1" applyProtection="1">
      <alignment horizontal="center" vertical="center"/>
      <protection locked="0"/>
    </xf>
    <xf numFmtId="0" fontId="111" fillId="77" borderId="89" xfId="21412" applyFont="1" applyFill="1" applyBorder="1" applyAlignment="1" applyProtection="1">
      <alignment vertical="center"/>
      <protection locked="0"/>
    </xf>
    <xf numFmtId="0" fontId="113" fillId="70" borderId="83" xfId="21412" applyFont="1" applyFill="1" applyBorder="1" applyAlignment="1" applyProtection="1">
      <alignment horizontal="center" vertical="center"/>
      <protection locked="0"/>
    </xf>
    <xf numFmtId="0" fontId="113" fillId="3" borderId="83" xfId="21412" applyFont="1" applyFill="1" applyBorder="1" applyAlignment="1" applyProtection="1">
      <alignment horizontal="center" vertical="center"/>
      <protection locked="0"/>
    </xf>
    <xf numFmtId="0" fontId="113" fillId="0" borderId="83" xfId="21412" applyFont="1" applyFill="1" applyBorder="1" applyAlignment="1" applyProtection="1">
      <alignment horizontal="center" vertical="center"/>
      <protection locked="0"/>
    </xf>
    <xf numFmtId="0" fontId="114" fillId="78" borderId="88" xfId="21412" applyFont="1" applyFill="1" applyBorder="1" applyAlignment="1" applyProtection="1">
      <alignment horizontal="center" vertical="center"/>
      <protection locked="0"/>
    </xf>
    <xf numFmtId="0" fontId="111" fillId="77" borderId="89" xfId="21412" applyFont="1" applyFill="1" applyBorder="1" applyAlignment="1" applyProtection="1">
      <alignment horizontal="center" vertical="center"/>
      <protection locked="0"/>
    </xf>
    <xf numFmtId="0" fontId="64" fillId="77" borderId="89" xfId="21412" applyFont="1" applyFill="1" applyBorder="1" applyAlignment="1" applyProtection="1">
      <alignment vertical="center"/>
      <protection locked="0"/>
    </xf>
    <xf numFmtId="0" fontId="113" fillId="70" borderId="88" xfId="21412" applyFont="1" applyFill="1" applyBorder="1" applyAlignment="1" applyProtection="1">
      <alignment horizontal="center" vertical="center"/>
      <protection locked="0"/>
    </xf>
    <xf numFmtId="0" fontId="38" fillId="70" borderId="88" xfId="21412" applyFont="1" applyFill="1" applyBorder="1" applyAlignment="1" applyProtection="1">
      <alignment horizontal="center" vertical="center"/>
      <protection locked="0"/>
    </xf>
    <xf numFmtId="0" fontId="64" fillId="77" borderId="87" xfId="21412" applyFont="1" applyFill="1" applyBorder="1" applyAlignment="1" applyProtection="1">
      <alignment vertical="center"/>
      <protection locked="0"/>
    </xf>
    <xf numFmtId="0" fontId="112" fillId="0" borderId="87" xfId="21412" applyFont="1" applyFill="1" applyBorder="1" applyAlignment="1" applyProtection="1">
      <alignment horizontal="left" vertical="center" wrapText="1"/>
      <protection locked="0"/>
    </xf>
    <xf numFmtId="164" fontId="112" fillId="0" borderId="88" xfId="948" applyNumberFormat="1" applyFont="1" applyFill="1" applyBorder="1" applyAlignment="1" applyProtection="1">
      <alignment horizontal="right" vertical="center"/>
      <protection locked="0"/>
    </xf>
    <xf numFmtId="0" fontId="111" fillId="78" borderId="87" xfId="21412" applyFont="1" applyFill="1" applyBorder="1" applyAlignment="1" applyProtection="1">
      <alignment vertical="top" wrapText="1"/>
      <protection locked="0"/>
    </xf>
    <xf numFmtId="164" fontId="112" fillId="78" borderId="88" xfId="948" applyNumberFormat="1" applyFont="1" applyFill="1" applyBorder="1" applyAlignment="1" applyProtection="1">
      <alignment horizontal="right" vertical="center"/>
    </xf>
    <xf numFmtId="164" fontId="64" fillId="77" borderId="87" xfId="948" applyNumberFormat="1" applyFont="1" applyFill="1" applyBorder="1" applyAlignment="1" applyProtection="1">
      <alignment horizontal="right" vertical="center"/>
      <protection locked="0"/>
    </xf>
    <xf numFmtId="0" fontId="112" fillId="70" borderId="87" xfId="21412" applyFont="1" applyFill="1" applyBorder="1" applyAlignment="1" applyProtection="1">
      <alignment vertical="center" wrapText="1"/>
      <protection locked="0"/>
    </xf>
    <xf numFmtId="0" fontId="112" fillId="70" borderId="87" xfId="21412" applyFont="1" applyFill="1" applyBorder="1" applyAlignment="1" applyProtection="1">
      <alignment horizontal="left" vertical="center" wrapText="1"/>
      <protection locked="0"/>
    </xf>
    <xf numFmtId="0" fontId="112" fillId="0" borderId="87" xfId="21412" applyFont="1" applyFill="1" applyBorder="1" applyAlignment="1" applyProtection="1">
      <alignment vertical="center" wrapText="1"/>
      <protection locked="0"/>
    </xf>
    <xf numFmtId="0" fontId="112" fillId="3" borderId="87" xfId="21412" applyFont="1" applyFill="1" applyBorder="1" applyAlignment="1" applyProtection="1">
      <alignment horizontal="left" vertical="center" wrapText="1"/>
      <protection locked="0"/>
    </xf>
    <xf numFmtId="0" fontId="111" fillId="78" borderId="87" xfId="21412" applyFont="1" applyFill="1" applyBorder="1" applyAlignment="1" applyProtection="1">
      <alignment vertical="center" wrapText="1"/>
      <protection locked="0"/>
    </xf>
    <xf numFmtId="164" fontId="111" fillId="77" borderId="87" xfId="948" applyNumberFormat="1" applyFont="1" applyFill="1" applyBorder="1" applyAlignment="1" applyProtection="1">
      <alignment horizontal="right" vertical="center"/>
      <protection locked="0"/>
    </xf>
    <xf numFmtId="10" fontId="7" fillId="0" borderId="88" xfId="20961" applyNumberFormat="1" applyFont="1" applyFill="1" applyBorder="1" applyAlignment="1">
      <alignment horizontal="left" vertical="center" wrapText="1"/>
    </xf>
    <xf numFmtId="10" fontId="4" fillId="0" borderId="88" xfId="20961" applyNumberFormat="1" applyFont="1" applyFill="1" applyBorder="1" applyAlignment="1">
      <alignment horizontal="left" vertical="center" wrapText="1"/>
    </xf>
    <xf numFmtId="10" fontId="6" fillId="36" borderId="88" xfId="0" applyNumberFormat="1" applyFont="1" applyFill="1" applyBorder="1" applyAlignment="1">
      <alignment horizontal="left" vertical="center" wrapText="1"/>
    </xf>
    <xf numFmtId="10" fontId="108" fillId="0" borderId="88" xfId="20961" applyNumberFormat="1" applyFont="1" applyFill="1" applyBorder="1" applyAlignment="1">
      <alignment horizontal="left" vertical="center" wrapText="1"/>
    </xf>
    <xf numFmtId="10" fontId="6" fillId="36" borderId="88" xfId="20961" applyNumberFormat="1" applyFont="1" applyFill="1" applyBorder="1" applyAlignment="1">
      <alignment horizontal="left" vertical="center" wrapText="1"/>
    </xf>
    <xf numFmtId="10" fontId="6" fillId="36" borderId="88"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5" xfId="0" applyFont="1" applyBorder="1" applyAlignment="1">
      <alignment horizontal="right" vertical="center" wrapText="1"/>
    </xf>
    <xf numFmtId="0" fontId="9" fillId="0" borderId="105" xfId="0" applyFont="1" applyFill="1" applyBorder="1" applyAlignment="1">
      <alignment horizontal="right" vertical="center" wrapText="1"/>
    </xf>
    <xf numFmtId="0" fontId="7" fillId="0" borderId="88" xfId="0" applyFont="1" applyFill="1" applyBorder="1" applyAlignment="1">
      <alignment vertical="center" wrapText="1"/>
    </xf>
    <xf numFmtId="0" fontId="4" fillId="0" borderId="88" xfId="0" applyFont="1" applyBorder="1" applyAlignment="1">
      <alignment vertical="center" wrapText="1"/>
    </xf>
    <xf numFmtId="0" fontId="4" fillId="0" borderId="88" xfId="0" applyFont="1" applyFill="1" applyBorder="1" applyAlignment="1">
      <alignment horizontal="left" vertical="center" wrapText="1" indent="2"/>
    </xf>
    <xf numFmtId="0" fontId="4" fillId="0" borderId="88" xfId="0" applyFont="1" applyFill="1" applyBorder="1" applyAlignment="1">
      <alignment vertical="center" wrapText="1"/>
    </xf>
    <xf numFmtId="3" fontId="23" fillId="36" borderId="89"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9"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4"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3" xfId="0" applyFont="1" applyBorder="1" applyAlignment="1"/>
    <xf numFmtId="0" fontId="4" fillId="0" borderId="27" xfId="0" applyFont="1" applyBorder="1" applyAlignment="1"/>
    <xf numFmtId="0" fontId="9" fillId="0" borderId="103" xfId="0" applyFont="1" applyBorder="1" applyAlignment="1"/>
    <xf numFmtId="0" fontId="10" fillId="0" borderId="21" xfId="0" applyFont="1" applyBorder="1" applyAlignment="1">
      <alignment horizontal="center"/>
    </xf>
    <xf numFmtId="0" fontId="10" fillId="0" borderId="103"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05" xfId="0" applyFont="1" applyFill="1" applyBorder="1" applyAlignment="1">
      <alignment horizontal="center" vertical="center" wrapText="1"/>
    </xf>
    <xf numFmtId="0" fontId="15" fillId="0" borderId="88" xfId="0" applyFont="1" applyFill="1" applyBorder="1" applyAlignment="1">
      <alignment horizontal="center" vertical="center" wrapText="1"/>
    </xf>
    <xf numFmtId="0" fontId="16" fillId="0" borderId="88" xfId="0" applyFont="1" applyFill="1" applyBorder="1" applyAlignment="1">
      <alignment horizontal="left" vertical="center" wrapText="1"/>
    </xf>
    <xf numFmtId="193" fontId="7" fillId="0" borderId="88" xfId="0" applyNumberFormat="1" applyFont="1" applyFill="1" applyBorder="1" applyAlignment="1" applyProtection="1">
      <alignment vertical="center" wrapText="1"/>
      <protection locked="0"/>
    </xf>
    <xf numFmtId="193" fontId="4" fillId="0" borderId="88" xfId="0" applyNumberFormat="1" applyFont="1" applyFill="1" applyBorder="1" applyAlignment="1" applyProtection="1">
      <alignment vertical="center" wrapText="1"/>
      <protection locked="0"/>
    </xf>
    <xf numFmtId="193" fontId="4" fillId="0" borderId="103" xfId="0" applyNumberFormat="1" applyFont="1" applyFill="1" applyBorder="1" applyAlignment="1" applyProtection="1">
      <alignment vertical="center" wrapText="1"/>
      <protection locked="0"/>
    </xf>
    <xf numFmtId="0" fontId="7" fillId="0" borderId="88" xfId="0" applyFont="1" applyBorder="1" applyAlignment="1">
      <alignment vertical="center" wrapText="1"/>
    </xf>
    <xf numFmtId="0" fontId="9" fillId="2" borderId="105" xfId="0" applyFont="1" applyFill="1" applyBorder="1" applyAlignment="1">
      <alignment horizontal="right" vertical="center"/>
    </xf>
    <xf numFmtId="0" fontId="9" fillId="2" borderId="88" xfId="0" applyFont="1" applyFill="1" applyBorder="1" applyAlignment="1">
      <alignment vertical="center"/>
    </xf>
    <xf numFmtId="193" fontId="9" fillId="2" borderId="88" xfId="0" applyNumberFormat="1" applyFont="1" applyFill="1" applyBorder="1" applyAlignment="1" applyProtection="1">
      <alignment vertical="center"/>
      <protection locked="0"/>
    </xf>
    <xf numFmtId="0" fontId="15" fillId="0" borderId="105" xfId="0" applyFont="1" applyFill="1" applyBorder="1" applyAlignment="1">
      <alignment horizontal="center" vertical="center" wrapText="1"/>
    </xf>
    <xf numFmtId="14" fontId="4" fillId="0" borderId="0" xfId="0" applyNumberFormat="1" applyFont="1"/>
    <xf numFmtId="10" fontId="4" fillId="0" borderId="88" xfId="20961" applyNumberFormat="1" applyFont="1" applyFill="1" applyBorder="1" applyAlignment="1" applyProtection="1">
      <alignment horizontal="right" vertical="center" wrapText="1"/>
      <protection locked="0"/>
    </xf>
    <xf numFmtId="0" fontId="6" fillId="0" borderId="0" xfId="0" applyFont="1" applyAlignment="1">
      <alignment horizontal="center" wrapText="1"/>
    </xf>
    <xf numFmtId="0" fontId="4" fillId="3" borderId="60" xfId="0" applyFont="1" applyFill="1" applyBorder="1"/>
    <xf numFmtId="0" fontId="4" fillId="3" borderId="108" xfId="0" applyFont="1" applyFill="1" applyBorder="1" applyAlignment="1">
      <alignment wrapText="1"/>
    </xf>
    <xf numFmtId="0" fontId="4" fillId="3" borderId="109" xfId="0" applyFont="1" applyFill="1" applyBorder="1"/>
    <xf numFmtId="0" fontId="6" fillId="3" borderId="11" xfId="0" applyFont="1" applyFill="1" applyBorder="1" applyAlignment="1">
      <alignment horizontal="center" wrapText="1"/>
    </xf>
    <xf numFmtId="0" fontId="4" fillId="0" borderId="88" xfId="0" applyFont="1" applyFill="1" applyBorder="1" applyAlignment="1">
      <alignment horizontal="center"/>
    </xf>
    <xf numFmtId="0" fontId="4" fillId="0" borderId="88" xfId="0" applyFont="1" applyBorder="1" applyAlignment="1">
      <alignment horizontal="center"/>
    </xf>
    <xf numFmtId="0" fontId="4" fillId="3" borderId="72"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81" xfId="0" applyFont="1" applyFill="1" applyBorder="1" applyAlignment="1">
      <alignment horizontal="center" vertical="center" wrapText="1"/>
    </xf>
    <xf numFmtId="0" fontId="4" fillId="0" borderId="105" xfId="0" applyFont="1" applyBorder="1"/>
    <xf numFmtId="0" fontId="4" fillId="0" borderId="88" xfId="0" applyFont="1" applyBorder="1" applyAlignment="1">
      <alignment wrapText="1"/>
    </xf>
    <xf numFmtId="164" fontId="4" fillId="0" borderId="88" xfId="7" applyNumberFormat="1" applyFont="1" applyBorder="1"/>
    <xf numFmtId="164" fontId="4" fillId="0" borderId="103" xfId="7" applyNumberFormat="1" applyFont="1" applyBorder="1"/>
    <xf numFmtId="0" fontId="14" fillId="0" borderId="88" xfId="0" applyFont="1" applyBorder="1" applyAlignment="1">
      <alignment horizontal="left" wrapText="1" indent="2"/>
    </xf>
    <xf numFmtId="169" fontId="28" fillId="37" borderId="88" xfId="20" applyBorder="1"/>
    <xf numFmtId="164" fontId="4" fillId="0" borderId="88" xfId="7" applyNumberFormat="1" applyFont="1" applyBorder="1" applyAlignment="1">
      <alignment vertical="center"/>
    </xf>
    <xf numFmtId="0" fontId="6" fillId="0" borderId="105" xfId="0" applyFont="1" applyBorder="1"/>
    <xf numFmtId="0" fontId="6" fillId="0" borderId="88" xfId="0" applyFont="1" applyBorder="1" applyAlignment="1">
      <alignment wrapText="1"/>
    </xf>
    <xf numFmtId="164" fontId="6" fillId="0" borderId="103" xfId="7" applyNumberFormat="1" applyFont="1" applyBorder="1"/>
    <xf numFmtId="0" fontId="3" fillId="3" borderId="72"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1" xfId="7" applyNumberFormat="1" applyFont="1" applyFill="1" applyBorder="1"/>
    <xf numFmtId="164" fontId="4" fillId="0" borderId="88" xfId="7" applyNumberFormat="1" applyFont="1" applyFill="1" applyBorder="1"/>
    <xf numFmtId="164" fontId="4" fillId="0" borderId="88" xfId="7" applyNumberFormat="1" applyFont="1" applyFill="1" applyBorder="1" applyAlignment="1">
      <alignment vertical="center"/>
    </xf>
    <xf numFmtId="0" fontId="14" fillId="0" borderId="88"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81" xfId="0" applyFont="1" applyFill="1" applyBorder="1"/>
    <xf numFmtId="0" fontId="6" fillId="0" borderId="25" xfId="0" applyFont="1" applyBorder="1"/>
    <xf numFmtId="0" fontId="6" fillId="0" borderId="26" xfId="0" applyFont="1" applyBorder="1" applyAlignment="1">
      <alignment wrapText="1"/>
    </xf>
    <xf numFmtId="169" fontId="28" fillId="37" borderId="106" xfId="20" applyBorder="1"/>
    <xf numFmtId="10" fontId="6" fillId="0" borderId="27" xfId="20961" applyNumberFormat="1" applyFont="1" applyBorder="1"/>
    <xf numFmtId="0" fontId="9" fillId="2" borderId="96" xfId="0" applyFont="1" applyFill="1" applyBorder="1" applyAlignment="1">
      <alignment horizontal="right" vertical="center"/>
    </xf>
    <xf numFmtId="0" fontId="9" fillId="2" borderId="83" xfId="0" applyFont="1" applyFill="1" applyBorder="1" applyAlignment="1">
      <alignment vertical="center"/>
    </xf>
    <xf numFmtId="0" fontId="9" fillId="0" borderId="88" xfId="0" applyFont="1" applyFill="1" applyBorder="1" applyAlignment="1">
      <alignment horizontal="left" vertical="center" wrapText="1"/>
    </xf>
    <xf numFmtId="0" fontId="6" fillId="3" borderId="0" xfId="0" applyFont="1" applyFill="1" applyBorder="1" applyAlignment="1">
      <alignment horizontal="center"/>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9" fillId="0" borderId="88" xfId="0" applyFont="1" applyBorder="1" applyAlignment="1">
      <alignment horizontal="center" vertical="center" wrapText="1"/>
    </xf>
    <xf numFmtId="49" fontId="120" fillId="3" borderId="88" xfId="5" applyNumberFormat="1" applyFont="1" applyFill="1" applyBorder="1" applyAlignment="1" applyProtection="1">
      <alignment horizontal="right" vertical="center"/>
      <protection locked="0"/>
    </xf>
    <xf numFmtId="0" fontId="120" fillId="3" borderId="88" xfId="13" applyFont="1" applyFill="1" applyBorder="1" applyAlignment="1" applyProtection="1">
      <alignment horizontal="left" vertical="center" wrapText="1"/>
      <protection locked="0"/>
    </xf>
    <xf numFmtId="0" fontId="119" fillId="0" borderId="88" xfId="0" applyFont="1" applyBorder="1"/>
    <xf numFmtId="0" fontId="120" fillId="0" borderId="88" xfId="13" applyFont="1" applyFill="1" applyBorder="1" applyAlignment="1" applyProtection="1">
      <alignment horizontal="left" vertical="center" wrapText="1"/>
      <protection locked="0"/>
    </xf>
    <xf numFmtId="49" fontId="120" fillId="0" borderId="88" xfId="5" applyNumberFormat="1" applyFont="1" applyFill="1" applyBorder="1" applyAlignment="1" applyProtection="1">
      <alignment horizontal="right" vertical="center"/>
      <protection locked="0"/>
    </xf>
    <xf numFmtId="49" fontId="121" fillId="0" borderId="88" xfId="5" applyNumberFormat="1" applyFont="1" applyFill="1" applyBorder="1" applyAlignment="1" applyProtection="1">
      <alignment horizontal="right" vertical="center"/>
      <protection locked="0"/>
    </xf>
    <xf numFmtId="0" fontId="116" fillId="0" borderId="0" xfId="0" applyFont="1" applyAlignment="1">
      <alignment wrapText="1"/>
    </xf>
    <xf numFmtId="0" fontId="116" fillId="0" borderId="88" xfId="0" applyFont="1" applyBorder="1" applyAlignment="1">
      <alignment horizontal="center" vertical="center"/>
    </xf>
    <xf numFmtId="0" fontId="116" fillId="0" borderId="88" xfId="0" applyFont="1" applyBorder="1" applyAlignment="1">
      <alignment horizontal="center" vertical="center" wrapText="1"/>
    </xf>
    <xf numFmtId="49" fontId="120" fillId="3" borderId="88" xfId="5" applyNumberFormat="1" applyFont="1" applyFill="1" applyBorder="1" applyAlignment="1" applyProtection="1">
      <alignment horizontal="right" vertical="center" wrapText="1"/>
      <protection locked="0"/>
    </xf>
    <xf numFmtId="0" fontId="116" fillId="0" borderId="88" xfId="0" applyFont="1" applyBorder="1"/>
    <xf numFmtId="0" fontId="116" fillId="0" borderId="88" xfId="0" applyFont="1" applyFill="1" applyBorder="1"/>
    <xf numFmtId="49" fontId="120" fillId="0" borderId="88" xfId="5" applyNumberFormat="1" applyFont="1" applyFill="1" applyBorder="1" applyAlignment="1" applyProtection="1">
      <alignment horizontal="right" vertical="center" wrapText="1"/>
      <protection locked="0"/>
    </xf>
    <xf numFmtId="49" fontId="121" fillId="0" borderId="88" xfId="5" applyNumberFormat="1" applyFont="1" applyFill="1" applyBorder="1" applyAlignment="1" applyProtection="1">
      <alignment horizontal="right" vertical="center" wrapText="1"/>
      <protection locked="0"/>
    </xf>
    <xf numFmtId="0" fontId="119" fillId="0" borderId="0" xfId="0" applyFont="1"/>
    <xf numFmtId="0" fontId="116" fillId="0" borderId="88" xfId="0" applyFont="1" applyBorder="1" applyAlignment="1">
      <alignment wrapText="1"/>
    </xf>
    <xf numFmtId="0" fontId="116" fillId="0" borderId="88" xfId="0" applyFont="1" applyBorder="1" applyAlignment="1">
      <alignment horizontal="left" indent="8"/>
    </xf>
    <xf numFmtId="0" fontId="116" fillId="0" borderId="0" xfId="0" applyFont="1" applyFill="1"/>
    <xf numFmtId="0" fontId="115" fillId="0" borderId="88" xfId="0" applyNumberFormat="1" applyFont="1" applyFill="1" applyBorder="1" applyAlignment="1">
      <alignment horizontal="left" vertical="center" wrapText="1"/>
    </xf>
    <xf numFmtId="0" fontId="116" fillId="0" borderId="0" xfId="0" applyFont="1" applyBorder="1"/>
    <xf numFmtId="0" fontId="119" fillId="0" borderId="88" xfId="0" applyFont="1" applyFill="1" applyBorder="1"/>
    <xf numFmtId="0" fontId="116" fillId="0" borderId="0" xfId="0" applyFont="1" applyBorder="1" applyAlignment="1">
      <alignment horizontal="left"/>
    </xf>
    <xf numFmtId="0" fontId="119" fillId="0" borderId="0" xfId="0" applyFont="1" applyBorder="1"/>
    <xf numFmtId="0" fontId="116" fillId="0" borderId="0" xfId="0" applyFont="1" applyFill="1" applyBorder="1"/>
    <xf numFmtId="0" fontId="119" fillId="0" borderId="88" xfId="0" applyFont="1" applyFill="1" applyBorder="1" applyAlignment="1">
      <alignment horizontal="center" vertical="center" wrapText="1"/>
    </xf>
    <xf numFmtId="0" fontId="118" fillId="0" borderId="88" xfId="0" applyFont="1" applyFill="1" applyBorder="1" applyAlignment="1">
      <alignment horizontal="left" indent="1"/>
    </xf>
    <xf numFmtId="0" fontId="118" fillId="0" borderId="88" xfId="0" applyFont="1" applyFill="1" applyBorder="1" applyAlignment="1">
      <alignment horizontal="left" wrapText="1" indent="1"/>
    </xf>
    <xf numFmtId="0" fontId="115" fillId="0" borderId="88" xfId="0" applyFont="1" applyFill="1" applyBorder="1" applyAlignment="1">
      <alignment horizontal="left" indent="1"/>
    </xf>
    <xf numFmtId="0" fontId="115" fillId="0" borderId="88" xfId="0" applyNumberFormat="1" applyFont="1" applyFill="1" applyBorder="1" applyAlignment="1">
      <alignment horizontal="left" indent="1"/>
    </xf>
    <xf numFmtId="0" fontId="115" fillId="0" borderId="88" xfId="0" applyFont="1" applyFill="1" applyBorder="1" applyAlignment="1">
      <alignment horizontal="left" wrapText="1" indent="2"/>
    </xf>
    <xf numFmtId="0" fontId="118" fillId="0" borderId="88" xfId="0" applyFont="1" applyFill="1" applyBorder="1" applyAlignment="1">
      <alignment horizontal="left" vertical="center" indent="1"/>
    </xf>
    <xf numFmtId="0" fontId="116" fillId="79" borderId="88" xfId="0" applyFont="1" applyFill="1" applyBorder="1"/>
    <xf numFmtId="0" fontId="116" fillId="0" borderId="88" xfId="0" applyFont="1" applyFill="1" applyBorder="1" applyAlignment="1">
      <alignment horizontal="left" wrapText="1"/>
    </xf>
    <xf numFmtId="0" fontId="116" fillId="0" borderId="88" xfId="0" applyFont="1" applyFill="1" applyBorder="1" applyAlignment="1">
      <alignment horizontal="left" wrapText="1" indent="2"/>
    </xf>
    <xf numFmtId="0" fontId="119" fillId="0" borderId="7" xfId="0" applyFont="1" applyBorder="1"/>
    <xf numFmtId="0" fontId="119" fillId="79" borderId="88" xfId="0" applyFont="1" applyFill="1" applyBorder="1"/>
    <xf numFmtId="0" fontId="116" fillId="0" borderId="0" xfId="0" applyFont="1" applyBorder="1" applyAlignment="1">
      <alignment horizontal="center" vertical="center"/>
    </xf>
    <xf numFmtId="0" fontId="116" fillId="0" borderId="0" xfId="0" applyFont="1" applyFill="1" applyBorder="1" applyAlignment="1">
      <alignment horizontal="center" vertical="center" wrapText="1"/>
    </xf>
    <xf numFmtId="0" fontId="116" fillId="0" borderId="0" xfId="0" applyFont="1" applyBorder="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8" xfId="0" applyNumberFormat="1" applyFont="1" applyBorder="1" applyAlignment="1">
      <alignment horizontal="center" vertical="center" wrapText="1"/>
    </xf>
    <xf numFmtId="0" fontId="116" fillId="0" borderId="88" xfId="0" applyFont="1" applyBorder="1" applyAlignment="1">
      <alignment horizontal="center"/>
    </xf>
    <xf numFmtId="0" fontId="116" fillId="0" borderId="88" xfId="0" applyFont="1" applyBorder="1" applyAlignment="1">
      <alignment horizontal="left" indent="1"/>
    </xf>
    <xf numFmtId="0" fontId="116" fillId="80" borderId="88" xfId="0" applyFont="1" applyFill="1" applyBorder="1"/>
    <xf numFmtId="0" fontId="116" fillId="0" borderId="7" xfId="0" applyFont="1" applyBorder="1"/>
    <xf numFmtId="0" fontId="116" fillId="0" borderId="88" xfId="0" applyFont="1" applyBorder="1" applyAlignment="1">
      <alignment horizontal="left" indent="2"/>
    </xf>
    <xf numFmtId="49" fontId="116" fillId="0" borderId="88" xfId="0" applyNumberFormat="1" applyFont="1" applyBorder="1" applyAlignment="1">
      <alignment horizontal="left" indent="3"/>
    </xf>
    <xf numFmtId="49" fontId="116" fillId="0" borderId="88" xfId="0" applyNumberFormat="1" applyFont="1" applyFill="1" applyBorder="1" applyAlignment="1">
      <alignment horizontal="left" indent="3"/>
    </xf>
    <xf numFmtId="49" fontId="116" fillId="0" borderId="88" xfId="0" applyNumberFormat="1" applyFont="1" applyBorder="1" applyAlignment="1">
      <alignment horizontal="left" indent="1"/>
    </xf>
    <xf numFmtId="49" fontId="116" fillId="0" borderId="88" xfId="0" applyNumberFormat="1" applyFont="1" applyFill="1" applyBorder="1" applyAlignment="1">
      <alignment horizontal="left" indent="1"/>
    </xf>
    <xf numFmtId="0" fontId="116" fillId="0" borderId="88" xfId="0" applyNumberFormat="1" applyFont="1" applyBorder="1" applyAlignment="1">
      <alignment horizontal="left" indent="1"/>
    </xf>
    <xf numFmtId="0" fontId="116" fillId="81" borderId="88" xfId="0" applyFont="1" applyFill="1" applyBorder="1"/>
    <xf numFmtId="49" fontId="116" fillId="0" borderId="88" xfId="0" applyNumberFormat="1" applyFont="1" applyBorder="1" applyAlignment="1">
      <alignment horizontal="left" wrapText="1" indent="2"/>
    </xf>
    <xf numFmtId="49" fontId="116" fillId="0" borderId="88" xfId="0" applyNumberFormat="1" applyFont="1" applyFill="1" applyBorder="1" applyAlignment="1">
      <alignment horizontal="left" vertical="top" wrapText="1" indent="2"/>
    </xf>
    <xf numFmtId="49" fontId="116" fillId="0" borderId="88" xfId="0" applyNumberFormat="1" applyFont="1" applyFill="1" applyBorder="1" applyAlignment="1">
      <alignment horizontal="left" wrapText="1" indent="3"/>
    </xf>
    <xf numFmtId="49" fontId="116" fillId="0" borderId="88" xfId="0" applyNumberFormat="1" applyFont="1" applyFill="1" applyBorder="1" applyAlignment="1">
      <alignment horizontal="left" wrapText="1" indent="2"/>
    </xf>
    <xf numFmtId="0" fontId="116" fillId="0" borderId="88" xfId="0" applyNumberFormat="1" applyFont="1" applyFill="1" applyBorder="1" applyAlignment="1">
      <alignment horizontal="left" wrapText="1" indent="1"/>
    </xf>
    <xf numFmtId="0" fontId="118" fillId="0" borderId="119" xfId="0" applyNumberFormat="1" applyFont="1" applyFill="1" applyBorder="1" applyAlignment="1">
      <alignment horizontal="left" vertical="center" wrapText="1"/>
    </xf>
    <xf numFmtId="0" fontId="116" fillId="0" borderId="83"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8" fillId="0" borderId="88" xfId="0" applyNumberFormat="1" applyFont="1" applyFill="1" applyBorder="1" applyAlignment="1">
      <alignment horizontal="left" vertical="center" wrapText="1"/>
    </xf>
    <xf numFmtId="0" fontId="116" fillId="0" borderId="0" xfId="0" applyFont="1" applyAlignment="1">
      <alignment horizontal="center" vertical="center"/>
    </xf>
    <xf numFmtId="0" fontId="124" fillId="0" borderId="0" xfId="0" applyFont="1"/>
    <xf numFmtId="0" fontId="124" fillId="0" borderId="0" xfId="0" applyFont="1" applyAlignment="1">
      <alignment horizontal="center" vertical="center"/>
    </xf>
    <xf numFmtId="0" fontId="116" fillId="0" borderId="88" xfId="0" applyFont="1" applyFill="1" applyBorder="1" applyAlignment="1">
      <alignment horizontal="left" indent="1"/>
    </xf>
    <xf numFmtId="0" fontId="11" fillId="0" borderId="88" xfId="17" applyFill="1" applyBorder="1" applyAlignment="1" applyProtection="1">
      <alignment wrapText="1"/>
    </xf>
    <xf numFmtId="49" fontId="116" fillId="0" borderId="88" xfId="0" applyNumberFormat="1" applyFont="1" applyFill="1" applyBorder="1" applyAlignment="1">
      <alignment horizontal="left" wrapText="1" indent="1"/>
    </xf>
    <xf numFmtId="0" fontId="119" fillId="0" borderId="88"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0" xfId="0" applyFont="1" applyFill="1" applyAlignment="1">
      <alignment horizontal="left" vertical="top" wrapText="1"/>
    </xf>
    <xf numFmtId="0" fontId="122" fillId="0" borderId="88" xfId="13" applyFont="1" applyFill="1" applyBorder="1" applyAlignment="1" applyProtection="1">
      <alignment horizontal="left" vertical="center" wrapText="1"/>
      <protection locked="0"/>
    </xf>
    <xf numFmtId="0" fontId="116" fillId="0" borderId="88" xfId="0" applyFont="1" applyFill="1" applyBorder="1" applyAlignment="1">
      <alignment horizontal="center" vertical="center" wrapText="1"/>
    </xf>
    <xf numFmtId="0" fontId="116" fillId="0" borderId="0" xfId="0" applyFont="1" applyFill="1" applyBorder="1" applyAlignment="1">
      <alignment horizontal="center" vertical="center"/>
    </xf>
    <xf numFmtId="0" fontId="116" fillId="0" borderId="7" xfId="0" applyFont="1" applyFill="1" applyBorder="1"/>
    <xf numFmtId="49" fontId="116" fillId="0" borderId="88" xfId="0" applyNumberFormat="1" applyFont="1" applyFill="1" applyBorder="1" applyAlignment="1">
      <alignment horizontal="center" vertical="center" wrapText="1"/>
    </xf>
    <xf numFmtId="10" fontId="4" fillId="0" borderId="88" xfId="20961" applyNumberFormat="1" applyFont="1" applyFill="1" applyBorder="1" applyAlignment="1" applyProtection="1">
      <alignment horizontal="right" vertical="center" wrapText="1"/>
    </xf>
    <xf numFmtId="10" fontId="4" fillId="0" borderId="88" xfId="20961" applyNumberFormat="1" applyFont="1" applyBorder="1" applyAlignment="1" applyProtection="1">
      <alignment vertical="center" wrapText="1"/>
    </xf>
    <xf numFmtId="10" fontId="4" fillId="0" borderId="103" xfId="20961" applyNumberFormat="1" applyFont="1" applyBorder="1" applyAlignment="1" applyProtection="1">
      <alignment vertical="center" wrapText="1"/>
    </xf>
    <xf numFmtId="10" fontId="17" fillId="2" borderId="88" xfId="20961" applyNumberFormat="1" applyFont="1" applyFill="1" applyBorder="1" applyAlignment="1" applyProtection="1">
      <alignment vertical="center"/>
    </xf>
    <xf numFmtId="10" fontId="17" fillId="2" borderId="103" xfId="20961" applyNumberFormat="1" applyFont="1" applyFill="1" applyBorder="1" applyAlignment="1" applyProtection="1">
      <alignment vertical="center"/>
    </xf>
    <xf numFmtId="10" fontId="9" fillId="2" borderId="88" xfId="20961" applyNumberFormat="1" applyFont="1" applyFill="1" applyBorder="1" applyAlignment="1" applyProtection="1">
      <alignment vertical="center"/>
    </xf>
    <xf numFmtId="193" fontId="7" fillId="0" borderId="88" xfId="0" applyNumberFormat="1" applyFont="1" applyFill="1" applyBorder="1" applyAlignment="1" applyProtection="1">
      <alignment vertical="center" wrapText="1"/>
    </xf>
    <xf numFmtId="193" fontId="4" fillId="0" borderId="88" xfId="0" applyNumberFormat="1" applyFont="1" applyFill="1" applyBorder="1" applyAlignment="1" applyProtection="1">
      <alignment vertical="center" wrapText="1"/>
    </xf>
    <xf numFmtId="169" fontId="28" fillId="37" borderId="0" xfId="20" applyBorder="1" applyProtection="1"/>
    <xf numFmtId="169" fontId="28" fillId="37" borderId="81" xfId="20" applyBorder="1" applyProtection="1"/>
    <xf numFmtId="193" fontId="7" fillId="0" borderId="88" xfId="0" applyNumberFormat="1" applyFont="1" applyFill="1" applyBorder="1" applyAlignment="1" applyProtection="1">
      <alignment horizontal="right" vertical="center" wrapText="1"/>
    </xf>
    <xf numFmtId="164" fontId="4" fillId="0" borderId="88" xfId="7" applyNumberFormat="1" applyFont="1" applyFill="1" applyBorder="1" applyAlignment="1" applyProtection="1">
      <alignment vertical="center" wrapText="1"/>
    </xf>
    <xf numFmtId="164" fontId="4" fillId="0" borderId="103" xfId="7" applyNumberFormat="1" applyFont="1" applyFill="1" applyBorder="1" applyAlignment="1" applyProtection="1">
      <alignment vertical="center" wrapText="1"/>
    </xf>
    <xf numFmtId="10" fontId="28" fillId="37" borderId="0" xfId="20961" applyNumberFormat="1" applyFont="1" applyFill="1" applyBorder="1" applyProtection="1"/>
    <xf numFmtId="10" fontId="28" fillId="37" borderId="81" xfId="20961" applyNumberFormat="1" applyFont="1" applyFill="1" applyBorder="1" applyProtection="1"/>
    <xf numFmtId="10" fontId="9" fillId="2" borderId="103" xfId="20961" applyNumberFormat="1" applyFont="1" applyFill="1" applyBorder="1" applyAlignment="1" applyProtection="1">
      <alignment vertical="center"/>
    </xf>
    <xf numFmtId="193" fontId="9" fillId="0" borderId="88" xfId="0" applyNumberFormat="1" applyFont="1" applyFill="1" applyBorder="1" applyAlignment="1" applyProtection="1">
      <alignment vertical="center"/>
    </xf>
    <xf numFmtId="193" fontId="9" fillId="0" borderId="103" xfId="0" applyNumberFormat="1" applyFont="1" applyFill="1" applyBorder="1" applyAlignment="1" applyProtection="1">
      <alignment vertical="center"/>
    </xf>
    <xf numFmtId="193" fontId="17" fillId="0" borderId="88" xfId="0" applyNumberFormat="1" applyFont="1" applyFill="1" applyBorder="1" applyAlignment="1" applyProtection="1">
      <alignment vertical="center"/>
    </xf>
    <xf numFmtId="193" fontId="17" fillId="0" borderId="103" xfId="0" applyNumberFormat="1" applyFont="1" applyFill="1" applyBorder="1" applyAlignment="1" applyProtection="1">
      <alignment vertical="center"/>
    </xf>
    <xf numFmtId="165" fontId="9" fillId="2" borderId="88" xfId="20961" applyNumberFormat="1" applyFont="1" applyFill="1" applyBorder="1" applyAlignment="1" applyProtection="1">
      <alignment vertical="center"/>
      <protection locked="0"/>
    </xf>
    <xf numFmtId="165" fontId="17" fillId="2" borderId="88" xfId="20961" applyNumberFormat="1" applyFont="1" applyFill="1" applyBorder="1" applyAlignment="1" applyProtection="1">
      <alignment vertical="center"/>
      <protection locked="0"/>
    </xf>
    <xf numFmtId="165" fontId="17" fillId="2" borderId="103" xfId="20961" applyNumberFormat="1" applyFont="1" applyFill="1" applyBorder="1" applyAlignment="1" applyProtection="1">
      <alignment vertical="center"/>
      <protection locked="0"/>
    </xf>
    <xf numFmtId="10" fontId="17" fillId="0" borderId="27" xfId="20961" applyNumberFormat="1" applyFont="1" applyFill="1" applyBorder="1" applyAlignment="1" applyProtection="1">
      <alignment vertical="center"/>
      <protection locked="0"/>
    </xf>
    <xf numFmtId="193" fontId="17" fillId="0" borderId="88" xfId="0" applyNumberFormat="1" applyFont="1" applyFill="1" applyBorder="1" applyAlignment="1" applyProtection="1">
      <alignment vertical="center"/>
      <protection locked="0"/>
    </xf>
    <xf numFmtId="193" fontId="17" fillId="0" borderId="103" xfId="0" applyNumberFormat="1" applyFont="1" applyFill="1" applyBorder="1" applyAlignment="1" applyProtection="1">
      <alignment vertical="center"/>
      <protection locked="0"/>
    </xf>
    <xf numFmtId="10" fontId="17" fillId="0" borderId="26" xfId="20961" applyNumberFormat="1" applyFont="1" applyFill="1" applyBorder="1" applyAlignment="1" applyProtection="1">
      <alignment vertical="center"/>
      <protection locked="0"/>
    </xf>
    <xf numFmtId="164" fontId="9" fillId="36" borderId="88" xfId="7" applyNumberFormat="1" applyFont="1" applyFill="1" applyBorder="1" applyAlignment="1" applyProtection="1">
      <alignment horizontal="right"/>
    </xf>
    <xf numFmtId="164" fontId="9" fillId="36" borderId="103" xfId="7" applyNumberFormat="1" applyFont="1" applyFill="1" applyBorder="1" applyAlignment="1" applyProtection="1">
      <alignment horizontal="right"/>
    </xf>
    <xf numFmtId="164" fontId="20" fillId="36" borderId="88" xfId="7" applyNumberFormat="1" applyFont="1" applyFill="1" applyBorder="1" applyAlignment="1" applyProtection="1">
      <alignment horizontal="right"/>
    </xf>
    <xf numFmtId="0" fontId="9" fillId="0" borderId="105" xfId="0" applyFont="1" applyBorder="1" applyAlignment="1">
      <alignment vertical="center"/>
    </xf>
    <xf numFmtId="0" fontId="13" fillId="0" borderId="89" xfId="0" applyFont="1" applyBorder="1" applyAlignment="1">
      <alignment wrapText="1"/>
    </xf>
    <xf numFmtId="9" fontId="25" fillId="0" borderId="24" xfId="0" applyNumberFormat="1" applyFont="1" applyBorder="1" applyAlignment="1"/>
    <xf numFmtId="0" fontId="9" fillId="0" borderId="96" xfId="0" applyFont="1" applyBorder="1" applyAlignment="1">
      <alignment vertical="center"/>
    </xf>
    <xf numFmtId="0" fontId="13" fillId="0" borderId="84" xfId="0" applyFont="1" applyBorder="1" applyAlignment="1">
      <alignment wrapText="1"/>
    </xf>
    <xf numFmtId="0" fontId="4" fillId="0" borderId="97" xfId="0" applyFont="1" applyBorder="1" applyAlignment="1"/>
    <xf numFmtId="9" fontId="25" fillId="0" borderId="123" xfId="0" applyNumberFormat="1" applyFont="1" applyBorder="1" applyAlignment="1"/>
    <xf numFmtId="164" fontId="108" fillId="0" borderId="103" xfId="7" applyNumberFormat="1" applyFont="1" applyFill="1" applyBorder="1" applyAlignment="1">
      <alignment horizontal="right" vertical="center" wrapText="1"/>
    </xf>
    <xf numFmtId="43" fontId="6" fillId="36" borderId="103" xfId="7" applyFont="1" applyFill="1" applyBorder="1" applyAlignment="1">
      <alignment horizontal="right" vertical="center" wrapText="1"/>
    </xf>
    <xf numFmtId="43" fontId="6" fillId="36" borderId="103" xfId="7" applyFont="1" applyFill="1" applyBorder="1" applyAlignment="1">
      <alignment horizontal="center" vertical="center" wrapText="1"/>
    </xf>
    <xf numFmtId="164" fontId="4" fillId="0" borderId="103"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25" fillId="0" borderId="35" xfId="7" applyNumberFormat="1" applyFont="1" applyBorder="1" applyAlignment="1">
      <alignment vertical="center"/>
    </xf>
    <xf numFmtId="164" fontId="25" fillId="0" borderId="14" xfId="7" applyNumberFormat="1" applyFont="1" applyBorder="1" applyAlignment="1">
      <alignment vertical="center"/>
    </xf>
    <xf numFmtId="164" fontId="19" fillId="0" borderId="14" xfId="7" applyNumberFormat="1" applyFont="1" applyBorder="1" applyAlignment="1">
      <alignment vertical="center"/>
    </xf>
    <xf numFmtId="164" fontId="25" fillId="36" borderId="14" xfId="7" applyNumberFormat="1" applyFont="1" applyFill="1" applyBorder="1" applyAlignment="1">
      <alignment vertical="center"/>
    </xf>
    <xf numFmtId="164" fontId="25" fillId="0" borderId="15" xfId="7" applyNumberFormat="1" applyFont="1" applyBorder="1" applyAlignment="1">
      <alignment vertical="center"/>
    </xf>
    <xf numFmtId="164" fontId="25" fillId="0" borderId="18" xfId="7" applyNumberFormat="1" applyFont="1" applyBorder="1" applyAlignment="1">
      <alignment vertical="center"/>
    </xf>
    <xf numFmtId="164" fontId="19" fillId="0" borderId="15" xfId="7"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36" borderId="27" xfId="7" applyNumberFormat="1" applyFont="1" applyFill="1" applyBorder="1"/>
    <xf numFmtId="164" fontId="4" fillId="0" borderId="22" xfId="7" applyNumberFormat="1" applyFont="1" applyBorder="1" applyAlignment="1"/>
    <xf numFmtId="164" fontId="4" fillId="0" borderId="23" xfId="7" applyNumberFormat="1" applyFont="1" applyBorder="1" applyAlignment="1"/>
    <xf numFmtId="164" fontId="4" fillId="0" borderId="24" xfId="7" applyNumberFormat="1" applyFont="1" applyBorder="1" applyAlignment="1">
      <alignment wrapText="1"/>
    </xf>
    <xf numFmtId="164" fontId="4" fillId="0" borderId="24" xfId="7" applyNumberFormat="1" applyFont="1" applyBorder="1" applyAlignment="1"/>
    <xf numFmtId="164" fontId="4" fillId="36" borderId="57" xfId="7" applyNumberFormat="1" applyFont="1" applyFill="1" applyBorder="1" applyAlignment="1"/>
    <xf numFmtId="164" fontId="4" fillId="36" borderId="25" xfId="7" applyNumberFormat="1" applyFont="1" applyFill="1" applyBorder="1"/>
    <xf numFmtId="164" fontId="4" fillId="36" borderId="26" xfId="7" applyNumberFormat="1" applyFont="1" applyFill="1" applyBorder="1"/>
    <xf numFmtId="164" fontId="4" fillId="36" borderId="58" xfId="7" applyNumberFormat="1" applyFont="1" applyFill="1" applyBorder="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84" xfId="7" applyNumberFormat="1" applyFont="1" applyFill="1" applyBorder="1" applyAlignment="1">
      <alignment vertical="center"/>
    </xf>
    <xf numFmtId="164" fontId="4" fillId="0" borderId="97" xfId="7" applyNumberFormat="1" applyFont="1" applyFill="1" applyBorder="1" applyAlignment="1">
      <alignment vertical="center"/>
    </xf>
    <xf numFmtId="164" fontId="4" fillId="0" borderId="89" xfId="7" applyNumberFormat="1" applyFont="1" applyFill="1" applyBorder="1" applyAlignment="1">
      <alignment vertical="center"/>
    </xf>
    <xf numFmtId="164" fontId="4" fillId="0" borderId="103"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28" fillId="37" borderId="0" xfId="7" applyNumberFormat="1" applyFont="1" applyFill="1" applyBorder="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3" borderId="86" xfId="7" applyNumberFormat="1" applyFont="1" applyFill="1" applyBorder="1" applyAlignment="1">
      <alignment vertical="center"/>
    </xf>
    <xf numFmtId="164" fontId="4" fillId="3" borderId="24" xfId="7" applyNumberFormat="1" applyFont="1" applyFill="1" applyBorder="1" applyAlignment="1">
      <alignment vertical="center"/>
    </xf>
    <xf numFmtId="165" fontId="4" fillId="0" borderId="82" xfId="20961" applyNumberFormat="1" applyFont="1" applyFill="1" applyBorder="1" applyAlignment="1">
      <alignment vertical="center"/>
    </xf>
    <xf numFmtId="9" fontId="4" fillId="0" borderId="82" xfId="20961" applyFont="1" applyFill="1" applyBorder="1" applyAlignment="1">
      <alignment vertical="center"/>
    </xf>
    <xf numFmtId="9" fontId="4" fillId="0" borderId="99" xfId="20961" applyFont="1" applyFill="1" applyBorder="1" applyAlignment="1">
      <alignment vertical="center"/>
    </xf>
    <xf numFmtId="164" fontId="9" fillId="3" borderId="3" xfId="7" applyNumberFormat="1" applyFont="1" applyFill="1" applyBorder="1" applyProtection="1">
      <protection locked="0"/>
    </xf>
    <xf numFmtId="164" fontId="9" fillId="36" borderId="3" xfId="7" applyNumberFormat="1" applyFont="1" applyFill="1" applyBorder="1" applyProtection="1">
      <protection locked="0"/>
    </xf>
    <xf numFmtId="164" fontId="10" fillId="36" borderId="26" xfId="7" applyNumberFormat="1" applyFont="1" applyFill="1" applyBorder="1" applyAlignment="1" applyProtection="1">
      <protection locked="0"/>
    </xf>
    <xf numFmtId="164" fontId="9" fillId="3" borderId="26" xfId="7" applyNumberFormat="1" applyFont="1" applyFill="1" applyBorder="1" applyProtection="1">
      <protection locked="0"/>
    </xf>
    <xf numFmtId="164" fontId="9" fillId="36" borderId="23" xfId="7" applyNumberFormat="1" applyFont="1" applyFill="1" applyBorder="1" applyProtection="1">
      <protection locked="0"/>
    </xf>
    <xf numFmtId="164" fontId="10" fillId="36" borderId="27" xfId="7" applyNumberFormat="1" applyFont="1" applyFill="1" applyBorder="1" applyAlignment="1" applyProtection="1">
      <protection locked="0"/>
    </xf>
    <xf numFmtId="0" fontId="104" fillId="0" borderId="88" xfId="0" applyFont="1" applyBorder="1"/>
    <xf numFmtId="164" fontId="112" fillId="0" borderId="88" xfId="7" applyNumberFormat="1" applyFont="1" applyFill="1" applyBorder="1" applyAlignment="1" applyProtection="1">
      <alignment horizontal="right" vertical="center"/>
      <protection locked="0"/>
    </xf>
    <xf numFmtId="164" fontId="112" fillId="3" borderId="88" xfId="7" applyNumberFormat="1" applyFont="1" applyFill="1" applyBorder="1" applyAlignment="1" applyProtection="1">
      <alignment horizontal="right" vertical="center"/>
      <protection locked="0"/>
    </xf>
    <xf numFmtId="10" fontId="112" fillId="0" borderId="88" xfId="20626" applyNumberFormat="1" applyFont="1" applyFill="1" applyBorder="1" applyAlignment="1" applyProtection="1">
      <alignment horizontal="right" vertical="center"/>
      <protection locked="0"/>
    </xf>
    <xf numFmtId="164" fontId="119" fillId="0" borderId="88" xfId="7" applyNumberFormat="1" applyFont="1" applyBorder="1"/>
    <xf numFmtId="164" fontId="116" fillId="0" borderId="88" xfId="7" applyNumberFormat="1" applyFont="1" applyBorder="1"/>
    <xf numFmtId="164" fontId="116" fillId="0" borderId="88" xfId="7" applyNumberFormat="1" applyFont="1" applyFill="1" applyBorder="1"/>
    <xf numFmtId="164" fontId="115" fillId="36" borderId="88" xfId="7" applyNumberFormat="1" applyFont="1" applyFill="1" applyBorder="1"/>
    <xf numFmtId="164" fontId="116" fillId="0" borderId="88" xfId="7" applyNumberFormat="1" applyFont="1" applyBorder="1" applyAlignment="1">
      <alignment horizontal="left" indent="1"/>
    </xf>
    <xf numFmtId="164" fontId="119" fillId="0" borderId="7" xfId="7" applyNumberFormat="1" applyFont="1" applyBorder="1"/>
    <xf numFmtId="164" fontId="116" fillId="0" borderId="88" xfId="7" applyNumberFormat="1" applyFont="1" applyBorder="1" applyAlignment="1">
      <alignment horizontal="left" indent="2"/>
    </xf>
    <xf numFmtId="164" fontId="116" fillId="0" borderId="88" xfId="7" applyNumberFormat="1" applyFont="1" applyFill="1" applyBorder="1" applyAlignment="1">
      <alignment horizontal="left" indent="3"/>
    </xf>
    <xf numFmtId="164" fontId="116" fillId="0" borderId="88" xfId="7" applyNumberFormat="1" applyFont="1" applyFill="1" applyBorder="1" applyAlignment="1">
      <alignment horizontal="left" indent="1"/>
    </xf>
    <xf numFmtId="164" fontId="116" fillId="0" borderId="88" xfId="7" applyNumberFormat="1" applyFont="1" applyFill="1" applyBorder="1" applyAlignment="1">
      <alignment horizontal="left" vertical="top" wrapText="1" indent="2"/>
    </xf>
    <xf numFmtId="164" fontId="116" fillId="0" borderId="88" xfId="7" applyNumberFormat="1" applyFont="1" applyFill="1" applyBorder="1" applyAlignment="1">
      <alignment horizontal="left" wrapText="1" indent="3"/>
    </xf>
    <xf numFmtId="164" fontId="116" fillId="0" borderId="88" xfId="7" applyNumberFormat="1" applyFont="1" applyFill="1" applyBorder="1" applyAlignment="1">
      <alignment horizontal="left" wrapText="1" indent="2"/>
    </xf>
    <xf numFmtId="164" fontId="116" fillId="0" borderId="88" xfId="7" applyNumberFormat="1" applyFont="1" applyFill="1" applyBorder="1" applyAlignment="1">
      <alignment horizontal="left" wrapText="1" indent="1"/>
    </xf>
    <xf numFmtId="164" fontId="115" fillId="0" borderId="88" xfId="7" applyNumberFormat="1" applyFont="1" applyFill="1" applyBorder="1" applyAlignment="1">
      <alignment horizontal="left" vertical="center" wrapText="1"/>
    </xf>
    <xf numFmtId="164" fontId="116" fillId="0" borderId="88" xfId="7" applyNumberFormat="1" applyFont="1" applyBorder="1" applyAlignment="1">
      <alignment horizontal="center" vertical="center" wrapText="1"/>
    </xf>
    <xf numFmtId="164" fontId="116" fillId="0" borderId="88" xfId="7" applyNumberFormat="1" applyFont="1" applyBorder="1" applyAlignment="1">
      <alignment horizontal="center" vertical="center"/>
    </xf>
    <xf numFmtId="164" fontId="118" fillId="0" borderId="88" xfId="7" applyNumberFormat="1" applyFont="1" applyFill="1" applyBorder="1" applyAlignment="1">
      <alignment horizontal="left" vertical="center" wrapText="1"/>
    </xf>
    <xf numFmtId="164" fontId="9" fillId="0" borderId="88" xfId="0" applyNumberFormat="1" applyFont="1" applyFill="1" applyBorder="1" applyAlignment="1">
      <alignment horizontal="left" vertical="center" wrapText="1"/>
    </xf>
    <xf numFmtId="164" fontId="25" fillId="0" borderId="88" xfId="7" applyNumberFormat="1" applyFont="1" applyFill="1" applyBorder="1"/>
    <xf numFmtId="164" fontId="25" fillId="0" borderId="88" xfId="0" applyNumberFormat="1" applyFont="1" applyFill="1" applyBorder="1"/>
    <xf numFmtId="164" fontId="119" fillId="0" borderId="88" xfId="7" applyNumberFormat="1" applyFont="1" applyBorder="1" applyAlignment="1">
      <alignment horizontal="center" vertical="center"/>
    </xf>
    <xf numFmtId="164" fontId="119" fillId="0" borderId="88" xfId="7" applyNumberFormat="1" applyFont="1" applyFill="1" applyBorder="1"/>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xf>
    <xf numFmtId="0" fontId="4" fillId="0" borderId="24" xfId="0" applyFont="1" applyFill="1" applyBorder="1" applyAlignment="1">
      <alignment horizontal="center"/>
    </xf>
    <xf numFmtId="0" fontId="6" fillId="36" borderId="10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4" xfId="0" applyFont="1" applyFill="1" applyBorder="1" applyAlignment="1">
      <alignment horizontal="center" vertical="center" wrapText="1"/>
    </xf>
    <xf numFmtId="0" fontId="6" fillId="36" borderId="8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9" xfId="1" applyNumberFormat="1" applyFont="1" applyFill="1" applyBorder="1" applyAlignment="1" applyProtection="1">
      <alignment horizontal="center" vertical="center" wrapText="1"/>
      <protection locked="0"/>
    </xf>
    <xf numFmtId="164" fontId="15" fillId="0" borderId="8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3" xfId="0" applyFont="1" applyBorder="1" applyAlignment="1">
      <alignment horizontal="center" vertical="center" wrapText="1"/>
    </xf>
    <xf numFmtId="0" fontId="118" fillId="0" borderId="110" xfId="0" applyNumberFormat="1" applyFont="1" applyFill="1" applyBorder="1" applyAlignment="1">
      <alignment horizontal="left" vertical="center" wrapText="1"/>
    </xf>
    <xf numFmtId="0" fontId="118" fillId="0" borderId="111" xfId="0" applyNumberFormat="1" applyFont="1" applyFill="1" applyBorder="1" applyAlignment="1">
      <alignment horizontal="left" vertical="center" wrapText="1"/>
    </xf>
    <xf numFmtId="0" fontId="118" fillId="0" borderId="113" xfId="0" applyNumberFormat="1" applyFont="1" applyFill="1" applyBorder="1" applyAlignment="1">
      <alignment horizontal="left" vertical="center" wrapText="1"/>
    </xf>
    <xf numFmtId="0" fontId="118" fillId="0" borderId="114" xfId="0" applyNumberFormat="1" applyFont="1" applyFill="1" applyBorder="1" applyAlignment="1">
      <alignment horizontal="left" vertical="center" wrapText="1"/>
    </xf>
    <xf numFmtId="0" fontId="118" fillId="0" borderId="116" xfId="0" applyNumberFormat="1" applyFont="1" applyFill="1" applyBorder="1" applyAlignment="1">
      <alignment horizontal="left" vertical="center" wrapText="1"/>
    </xf>
    <xf numFmtId="0" fontId="118" fillId="0" borderId="117" xfId="0" applyNumberFormat="1" applyFont="1" applyFill="1" applyBorder="1" applyAlignment="1">
      <alignment horizontal="left" vertical="center" wrapText="1"/>
    </xf>
    <xf numFmtId="0" fontId="119" fillId="0" borderId="84" xfId="0" applyFont="1" applyFill="1" applyBorder="1" applyAlignment="1">
      <alignment horizontal="center" vertical="center" wrapText="1"/>
    </xf>
    <xf numFmtId="0" fontId="119" fillId="0" borderId="102" xfId="0" applyFont="1" applyFill="1" applyBorder="1" applyAlignment="1">
      <alignment horizontal="center" vertical="center" wrapText="1"/>
    </xf>
    <xf numFmtId="0" fontId="119" fillId="0" borderId="112" xfId="0" applyFont="1" applyFill="1" applyBorder="1" applyAlignment="1">
      <alignment horizontal="center" vertical="center" wrapText="1"/>
    </xf>
    <xf numFmtId="0" fontId="119" fillId="0" borderId="59" xfId="0" applyFont="1" applyFill="1" applyBorder="1" applyAlignment="1">
      <alignment horizontal="center" vertical="center" wrapText="1"/>
    </xf>
    <xf numFmtId="0" fontId="119" fillId="0" borderId="115"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83"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8" xfId="0" applyFont="1" applyBorder="1" applyAlignment="1">
      <alignment horizontal="center" vertical="center" wrapText="1"/>
    </xf>
    <xf numFmtId="0" fontId="123" fillId="0" borderId="88" xfId="0" applyFont="1" applyFill="1" applyBorder="1" applyAlignment="1">
      <alignment horizontal="center" vertical="center"/>
    </xf>
    <xf numFmtId="0" fontId="123" fillId="0" borderId="84" xfId="0" applyFont="1" applyFill="1" applyBorder="1" applyAlignment="1">
      <alignment horizontal="center" vertical="center"/>
    </xf>
    <xf numFmtId="0" fontId="123" fillId="0" borderId="112" xfId="0" applyFont="1" applyFill="1" applyBorder="1" applyAlignment="1">
      <alignment horizontal="center" vertical="center"/>
    </xf>
    <xf numFmtId="0" fontId="123" fillId="0" borderId="59" xfId="0" applyFont="1" applyFill="1" applyBorder="1" applyAlignment="1">
      <alignment horizontal="center" vertical="center"/>
    </xf>
    <xf numFmtId="0" fontId="123" fillId="0" borderId="11" xfId="0" applyFont="1" applyFill="1" applyBorder="1" applyAlignment="1">
      <alignment horizontal="center" vertical="center"/>
    </xf>
    <xf numFmtId="0" fontId="119" fillId="0" borderId="88" xfId="0" applyFont="1" applyFill="1" applyBorder="1" applyAlignment="1">
      <alignment horizontal="center" vertical="center" wrapText="1"/>
    </xf>
    <xf numFmtId="0" fontId="119" fillId="0" borderId="118" xfId="0" applyFont="1" applyFill="1" applyBorder="1" applyAlignment="1">
      <alignment horizontal="center" vertical="center" wrapText="1"/>
    </xf>
    <xf numFmtId="0" fontId="119" fillId="0" borderId="119" xfId="0" applyFont="1" applyFill="1" applyBorder="1" applyAlignment="1">
      <alignment horizontal="center" vertical="center" wrapText="1"/>
    </xf>
    <xf numFmtId="0" fontId="116" fillId="0" borderId="89" xfId="0" applyFont="1" applyFill="1" applyBorder="1" applyAlignment="1">
      <alignment horizontal="center" vertical="center" wrapText="1"/>
    </xf>
    <xf numFmtId="0" fontId="116" fillId="0" borderId="86" xfId="0" applyFont="1" applyFill="1" applyBorder="1" applyAlignment="1">
      <alignment horizontal="center" vertical="center" wrapText="1"/>
    </xf>
    <xf numFmtId="0" fontId="116" fillId="0" borderId="87" xfId="0" applyFont="1" applyFill="1" applyBorder="1" applyAlignment="1">
      <alignment horizontal="center" vertical="center" wrapText="1"/>
    </xf>
    <xf numFmtId="0" fontId="119" fillId="0" borderId="120"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20"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118"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19" xfId="0" applyFont="1" applyFill="1" applyBorder="1" applyAlignment="1">
      <alignment horizontal="center" vertical="center" wrapText="1"/>
    </xf>
    <xf numFmtId="0" fontId="116" fillId="0" borderId="11" xfId="0" applyFont="1" applyBorder="1" applyAlignment="1">
      <alignment horizontal="center" vertical="center" wrapText="1"/>
    </xf>
    <xf numFmtId="0" fontId="118" fillId="0" borderId="84" xfId="0" applyNumberFormat="1" applyFont="1" applyFill="1" applyBorder="1" applyAlignment="1">
      <alignment horizontal="left" vertical="top" wrapText="1"/>
    </xf>
    <xf numFmtId="0" fontId="118" fillId="0" borderId="112" xfId="0" applyNumberFormat="1" applyFont="1" applyFill="1" applyBorder="1" applyAlignment="1">
      <alignment horizontal="left" vertical="top" wrapText="1"/>
    </xf>
    <xf numFmtId="0" fontId="118" fillId="0" borderId="118" xfId="0" applyNumberFormat="1" applyFont="1" applyFill="1" applyBorder="1" applyAlignment="1">
      <alignment horizontal="left" vertical="top" wrapText="1"/>
    </xf>
    <xf numFmtId="0" fontId="118" fillId="0" borderId="119" xfId="0" applyNumberFormat="1" applyFont="1" applyFill="1" applyBorder="1" applyAlignment="1">
      <alignment horizontal="left" vertical="top" wrapText="1"/>
    </xf>
    <xf numFmtId="0" fontId="118" fillId="0" borderId="59" xfId="0" applyNumberFormat="1" applyFont="1" applyFill="1" applyBorder="1" applyAlignment="1">
      <alignment horizontal="left" vertical="top" wrapText="1"/>
    </xf>
    <xf numFmtId="0" fontId="118" fillId="0" borderId="11" xfId="0" applyNumberFormat="1" applyFont="1" applyFill="1" applyBorder="1" applyAlignment="1">
      <alignment horizontal="left" vertical="top" wrapText="1"/>
    </xf>
    <xf numFmtId="0" fontId="116" fillId="0" borderId="84" xfId="0" applyFont="1" applyFill="1" applyBorder="1" applyAlignment="1">
      <alignment horizontal="center" vertical="center"/>
    </xf>
    <xf numFmtId="0" fontId="116" fillId="0" borderId="102" xfId="0" applyFont="1" applyFill="1" applyBorder="1" applyAlignment="1">
      <alignment horizontal="center" vertical="center"/>
    </xf>
    <xf numFmtId="0" fontId="116" fillId="0" borderId="112" xfId="0" applyFont="1" applyFill="1" applyBorder="1" applyAlignment="1">
      <alignment horizontal="center" vertical="center"/>
    </xf>
    <xf numFmtId="0" fontId="116" fillId="0" borderId="84" xfId="0" applyFont="1" applyFill="1" applyBorder="1" applyAlignment="1">
      <alignment horizontal="center" vertical="center" wrapText="1"/>
    </xf>
    <xf numFmtId="0" fontId="116" fillId="0" borderId="102" xfId="0" applyFont="1" applyFill="1" applyBorder="1" applyAlignment="1">
      <alignment horizontal="center" vertical="center" wrapText="1"/>
    </xf>
    <xf numFmtId="0" fontId="116" fillId="0" borderId="112" xfId="0" applyFont="1" applyFill="1" applyBorder="1" applyAlignment="1">
      <alignment horizontal="center" vertical="center" wrapText="1"/>
    </xf>
    <xf numFmtId="0" fontId="116" fillId="0" borderId="84" xfId="0" applyFont="1" applyBorder="1" applyAlignment="1">
      <alignment horizontal="center" vertical="top" wrapText="1"/>
    </xf>
    <xf numFmtId="0" fontId="116" fillId="0" borderId="102" xfId="0" applyFont="1" applyBorder="1" applyAlignment="1">
      <alignment horizontal="center" vertical="top" wrapText="1"/>
    </xf>
    <xf numFmtId="0" fontId="116" fillId="0" borderId="112" xfId="0" applyFont="1" applyBorder="1" applyAlignment="1">
      <alignment horizontal="center" vertical="top" wrapText="1"/>
    </xf>
    <xf numFmtId="0" fontId="116" fillId="0" borderId="84" xfId="0" applyFont="1" applyFill="1" applyBorder="1" applyAlignment="1">
      <alignment horizontal="center" vertical="top" wrapText="1"/>
    </xf>
    <xf numFmtId="0" fontId="116" fillId="0" borderId="86" xfId="0" applyFont="1" applyFill="1" applyBorder="1" applyAlignment="1">
      <alignment horizontal="center" vertical="top" wrapText="1"/>
    </xf>
    <xf numFmtId="0" fontId="116" fillId="0" borderId="87" xfId="0" applyFont="1" applyFill="1" applyBorder="1" applyAlignment="1">
      <alignment horizontal="center" vertical="top" wrapText="1"/>
    </xf>
    <xf numFmtId="0" fontId="116" fillId="0" borderId="83" xfId="0" applyFont="1" applyBorder="1" applyAlignment="1">
      <alignment horizontal="center" vertical="top" wrapText="1"/>
    </xf>
    <xf numFmtId="0" fontId="116" fillId="0" borderId="7" xfId="0" applyFont="1" applyBorder="1" applyAlignment="1">
      <alignment horizontal="center" vertical="top" wrapText="1"/>
    </xf>
    <xf numFmtId="0" fontId="118" fillId="0" borderId="121" xfId="0" applyNumberFormat="1" applyFont="1" applyFill="1" applyBorder="1" applyAlignment="1">
      <alignment horizontal="left" vertical="top" wrapText="1"/>
    </xf>
    <xf numFmtId="0" fontId="118" fillId="0" borderId="122" xfId="0" applyNumberFormat="1" applyFont="1" applyFill="1" applyBorder="1" applyAlignment="1">
      <alignment horizontal="left" vertical="top" wrapText="1"/>
    </xf>
    <xf numFmtId="193" fontId="4" fillId="0" borderId="103" xfId="0" applyNumberFormat="1" applyFont="1" applyFill="1" applyBorder="1" applyAlignment="1" applyProtection="1">
      <alignment vertical="center" wrapText="1"/>
    </xf>
    <xf numFmtId="10" fontId="4" fillId="0" borderId="103" xfId="20961" applyNumberFormat="1" applyFont="1" applyFill="1" applyBorder="1" applyAlignment="1" applyProtection="1">
      <alignment horizontal="right" vertical="center" wrapText="1"/>
      <protection locked="0"/>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7</xdr:row>
      <xdr:rowOff>0</xdr:rowOff>
    </xdr:to>
    <xdr:cxnSp macro="">
      <xdr:nvCxnSpPr>
        <xdr:cNvPr id="3" name="Straight Connector 2"/>
        <xdr:cNvCxnSpPr/>
      </xdr:nvCxnSpPr>
      <xdr:spPr>
        <a:xfrm>
          <a:off x="70485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ra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4"/>
  <sheetViews>
    <sheetView tabSelected="1" workbookViewId="0">
      <pane xSplit="1" ySplit="7" topLeftCell="B8" activePane="bottomRight" state="frozen"/>
      <selection pane="topRight" activeCell="B1" sqref="B1"/>
      <selection pane="bottomLeft" activeCell="A8" sqref="A8"/>
      <selection pane="bottomRight" activeCell="A6" sqref="A6:C6"/>
    </sheetView>
  </sheetViews>
  <sheetFormatPr defaultRowHeight="15"/>
  <cols>
    <col min="1" max="1" width="10.28515625" style="2" customWidth="1"/>
    <col min="2" max="2" width="110.5703125" customWidth="1"/>
    <col min="3" max="3" width="33" customWidth="1"/>
    <col min="7" max="7" width="25" customWidth="1"/>
  </cols>
  <sheetData>
    <row r="1" spans="1:3" ht="15.75">
      <c r="A1" s="10"/>
      <c r="B1" s="184" t="s">
        <v>254</v>
      </c>
      <c r="C1" s="94"/>
    </row>
    <row r="2" spans="1:3" s="181" customFormat="1" ht="15.75">
      <c r="A2" s="227">
        <v>1</v>
      </c>
      <c r="B2" s="182" t="s">
        <v>255</v>
      </c>
      <c r="C2" s="645" t="s">
        <v>717</v>
      </c>
    </row>
    <row r="3" spans="1:3" s="181" customFormat="1" ht="15.75">
      <c r="A3" s="227">
        <v>2</v>
      </c>
      <c r="B3" s="183" t="s">
        <v>256</v>
      </c>
      <c r="C3" s="645" t="s">
        <v>718</v>
      </c>
    </row>
    <row r="4" spans="1:3" s="181" customFormat="1" ht="15.75">
      <c r="A4" s="227">
        <v>3</v>
      </c>
      <c r="B4" s="183" t="s">
        <v>257</v>
      </c>
      <c r="C4" s="645" t="s">
        <v>719</v>
      </c>
    </row>
    <row r="5" spans="1:3" s="181" customFormat="1" ht="15.75">
      <c r="A5" s="228">
        <v>4</v>
      </c>
      <c r="B5" s="186" t="s">
        <v>258</v>
      </c>
      <c r="C5" s="364" t="s">
        <v>720</v>
      </c>
    </row>
    <row r="6" spans="1:3" s="185" customFormat="1" ht="87.75" customHeight="1">
      <c r="A6" s="671" t="s">
        <v>373</v>
      </c>
      <c r="B6" s="672"/>
      <c r="C6" s="672"/>
    </row>
    <row r="7" spans="1:3">
      <c r="A7" s="358" t="s">
        <v>327</v>
      </c>
      <c r="B7" s="359" t="s">
        <v>259</v>
      </c>
    </row>
    <row r="8" spans="1:3">
      <c r="A8" s="360">
        <v>1</v>
      </c>
      <c r="B8" s="356" t="s">
        <v>223</v>
      </c>
    </row>
    <row r="9" spans="1:3">
      <c r="A9" s="360">
        <v>2</v>
      </c>
      <c r="B9" s="356" t="s">
        <v>260</v>
      </c>
    </row>
    <row r="10" spans="1:3">
      <c r="A10" s="360">
        <v>3</v>
      </c>
      <c r="B10" s="356" t="s">
        <v>261</v>
      </c>
    </row>
    <row r="11" spans="1:3">
      <c r="A11" s="360">
        <v>4</v>
      </c>
      <c r="B11" s="356" t="s">
        <v>262</v>
      </c>
      <c r="C11" s="180"/>
    </row>
    <row r="12" spans="1:3">
      <c r="A12" s="360">
        <v>5</v>
      </c>
      <c r="B12" s="356" t="s">
        <v>187</v>
      </c>
    </row>
    <row r="13" spans="1:3">
      <c r="A13" s="360">
        <v>6</v>
      </c>
      <c r="B13" s="361" t="s">
        <v>149</v>
      </c>
    </row>
    <row r="14" spans="1:3">
      <c r="A14" s="360">
        <v>7</v>
      </c>
      <c r="B14" s="356" t="s">
        <v>263</v>
      </c>
    </row>
    <row r="15" spans="1:3">
      <c r="A15" s="360">
        <v>8</v>
      </c>
      <c r="B15" s="356" t="s">
        <v>266</v>
      </c>
    </row>
    <row r="16" spans="1:3">
      <c r="A16" s="360">
        <v>9</v>
      </c>
      <c r="B16" s="356" t="s">
        <v>88</v>
      </c>
    </row>
    <row r="17" spans="1:2">
      <c r="A17" s="362" t="s">
        <v>420</v>
      </c>
      <c r="B17" s="356" t="s">
        <v>400</v>
      </c>
    </row>
    <row r="18" spans="1:2">
      <c r="A18" s="360">
        <v>10</v>
      </c>
      <c r="B18" s="356" t="s">
        <v>269</v>
      </c>
    </row>
    <row r="19" spans="1:2">
      <c r="A19" s="360">
        <v>11</v>
      </c>
      <c r="B19" s="361" t="s">
        <v>250</v>
      </c>
    </row>
    <row r="20" spans="1:2">
      <c r="A20" s="360">
        <v>12</v>
      </c>
      <c r="B20" s="361" t="s">
        <v>247</v>
      </c>
    </row>
    <row r="21" spans="1:2">
      <c r="A21" s="360">
        <v>13</v>
      </c>
      <c r="B21" s="363" t="s">
        <v>363</v>
      </c>
    </row>
    <row r="22" spans="1:2">
      <c r="A22" s="360">
        <v>14</v>
      </c>
      <c r="B22" s="364" t="s">
        <v>394</v>
      </c>
    </row>
    <row r="23" spans="1:2">
      <c r="A23" s="365">
        <v>15</v>
      </c>
      <c r="B23" s="361" t="s">
        <v>77</v>
      </c>
    </row>
    <row r="24" spans="1:2">
      <c r="A24" s="365">
        <v>15.1</v>
      </c>
      <c r="B24" s="356" t="s">
        <v>429</v>
      </c>
    </row>
    <row r="25" spans="1:2">
      <c r="A25" s="365">
        <v>16</v>
      </c>
      <c r="B25" s="356" t="s">
        <v>497</v>
      </c>
    </row>
    <row r="26" spans="1:2">
      <c r="A26" s="365">
        <v>17</v>
      </c>
      <c r="B26" s="356" t="s">
        <v>706</v>
      </c>
    </row>
    <row r="27" spans="1:2">
      <c r="A27" s="365">
        <v>18</v>
      </c>
      <c r="B27" s="356" t="s">
        <v>715</v>
      </c>
    </row>
    <row r="28" spans="1:2">
      <c r="A28" s="365">
        <v>19</v>
      </c>
      <c r="B28" s="356" t="s">
        <v>716</v>
      </c>
    </row>
    <row r="29" spans="1:2">
      <c r="A29" s="365">
        <v>20</v>
      </c>
      <c r="B29" s="364" t="s">
        <v>592</v>
      </c>
    </row>
    <row r="30" spans="1:2">
      <c r="A30" s="365">
        <v>21</v>
      </c>
      <c r="B30" s="356" t="s">
        <v>610</v>
      </c>
    </row>
    <row r="31" spans="1:2">
      <c r="A31" s="365">
        <v>22</v>
      </c>
      <c r="B31" s="548" t="s">
        <v>627</v>
      </c>
    </row>
    <row r="32" spans="1:2" ht="26.25">
      <c r="A32" s="365">
        <v>23</v>
      </c>
      <c r="B32" s="548" t="s">
        <v>707</v>
      </c>
    </row>
    <row r="33" spans="1:2">
      <c r="A33" s="365">
        <v>24</v>
      </c>
      <c r="B33" s="356" t="s">
        <v>708</v>
      </c>
    </row>
    <row r="34" spans="1:2">
      <c r="A34" s="365">
        <v>25</v>
      </c>
      <c r="B34" s="356" t="s">
        <v>709</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C5" r:id="rId1"/>
  </hyperlinks>
  <pageMargins left="0.7" right="0.7" top="0.75" bottom="0.75" header="0.3" footer="0.3"/>
  <pageSetup paperSize="9"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5" activePane="bottomRight" state="frozen"/>
      <selection pane="topRight" activeCell="B1" sqref="B1"/>
      <selection pane="bottomLeft" activeCell="A5" sqref="A5"/>
      <selection pane="bottomRight" activeCell="C30" sqref="C30:C52"/>
    </sheetView>
  </sheetViews>
  <sheetFormatPr defaultRowHeight="15"/>
  <cols>
    <col min="1" max="1" width="9.5703125" style="5" bestFit="1" customWidth="1"/>
    <col min="2" max="2" width="132.42578125" style="2" customWidth="1"/>
    <col min="3" max="3" width="18.42578125" style="2" customWidth="1"/>
  </cols>
  <sheetData>
    <row r="1" spans="1:6" ht="15.75">
      <c r="A1" s="18" t="s">
        <v>188</v>
      </c>
      <c r="B1" s="17" t="str">
        <f>Info!C2</f>
        <v>ს.ს. "ტერაბანკი"</v>
      </c>
      <c r="D1" s="2"/>
      <c r="E1" s="2"/>
      <c r="F1" s="2"/>
    </row>
    <row r="2" spans="1:6" s="22" customFormat="1" ht="15.75" customHeight="1">
      <c r="A2" s="22" t="s">
        <v>189</v>
      </c>
      <c r="B2" s="435">
        <f>'1. key ratios'!B2</f>
        <v>44377</v>
      </c>
    </row>
    <row r="3" spans="1:6" s="22" customFormat="1" ht="15.75" customHeight="1"/>
    <row r="4" spans="1:6" ht="15.75" thickBot="1">
      <c r="A4" s="5" t="s">
        <v>336</v>
      </c>
      <c r="B4" s="61" t="s">
        <v>88</v>
      </c>
    </row>
    <row r="5" spans="1:6">
      <c r="A5" s="135" t="s">
        <v>26</v>
      </c>
      <c r="B5" s="136"/>
      <c r="C5" s="137" t="s">
        <v>27</v>
      </c>
    </row>
    <row r="6" spans="1:6">
      <c r="A6" s="138">
        <v>1</v>
      </c>
      <c r="B6" s="83" t="s">
        <v>28</v>
      </c>
      <c r="C6" s="259">
        <f>SUM(C7:C11)</f>
        <v>140526988.89999998</v>
      </c>
    </row>
    <row r="7" spans="1:6">
      <c r="A7" s="138">
        <v>2</v>
      </c>
      <c r="B7" s="80" t="s">
        <v>29</v>
      </c>
      <c r="C7" s="260">
        <v>121372000.00000001</v>
      </c>
    </row>
    <row r="8" spans="1:6">
      <c r="A8" s="138">
        <v>3</v>
      </c>
      <c r="B8" s="74" t="s">
        <v>30</v>
      </c>
      <c r="C8" s="260">
        <v>0</v>
      </c>
    </row>
    <row r="9" spans="1:6">
      <c r="A9" s="138">
        <v>4</v>
      </c>
      <c r="B9" s="74" t="s">
        <v>31</v>
      </c>
      <c r="C9" s="260">
        <v>0</v>
      </c>
    </row>
    <row r="10" spans="1:6">
      <c r="A10" s="138">
        <v>5</v>
      </c>
      <c r="B10" s="74" t="s">
        <v>32</v>
      </c>
      <c r="C10" s="260">
        <v>0</v>
      </c>
    </row>
    <row r="11" spans="1:6">
      <c r="A11" s="138">
        <v>6</v>
      </c>
      <c r="B11" s="81" t="s">
        <v>33</v>
      </c>
      <c r="C11" s="260">
        <v>19154988.899999976</v>
      </c>
    </row>
    <row r="12" spans="1:6" s="4" customFormat="1">
      <c r="A12" s="138">
        <v>7</v>
      </c>
      <c r="B12" s="83" t="s">
        <v>34</v>
      </c>
      <c r="C12" s="261">
        <f>SUM(C13:C27)</f>
        <v>22987679</v>
      </c>
    </row>
    <row r="13" spans="1:6" s="4" customFormat="1">
      <c r="A13" s="138">
        <v>8</v>
      </c>
      <c r="B13" s="82" t="s">
        <v>35</v>
      </c>
      <c r="C13" s="262">
        <v>0</v>
      </c>
    </row>
    <row r="14" spans="1:6" s="4" customFormat="1" ht="25.5">
      <c r="A14" s="138">
        <v>9</v>
      </c>
      <c r="B14" s="75" t="s">
        <v>36</v>
      </c>
      <c r="C14" s="262">
        <v>0</v>
      </c>
    </row>
    <row r="15" spans="1:6" s="4" customFormat="1">
      <c r="A15" s="138">
        <v>10</v>
      </c>
      <c r="B15" s="76" t="s">
        <v>37</v>
      </c>
      <c r="C15" s="262">
        <v>22987679</v>
      </c>
    </row>
    <row r="16" spans="1:6" s="4" customFormat="1">
      <c r="A16" s="138">
        <v>11</v>
      </c>
      <c r="B16" s="77" t="s">
        <v>38</v>
      </c>
      <c r="C16" s="262">
        <v>0</v>
      </c>
    </row>
    <row r="17" spans="1:3" s="4" customFormat="1">
      <c r="A17" s="138">
        <v>12</v>
      </c>
      <c r="B17" s="76" t="s">
        <v>39</v>
      </c>
      <c r="C17" s="262">
        <v>0</v>
      </c>
    </row>
    <row r="18" spans="1:3" s="4" customFormat="1">
      <c r="A18" s="138">
        <v>13</v>
      </c>
      <c r="B18" s="76" t="s">
        <v>40</v>
      </c>
      <c r="C18" s="262">
        <v>0</v>
      </c>
    </row>
    <row r="19" spans="1:3" s="4" customFormat="1">
      <c r="A19" s="138">
        <v>14</v>
      </c>
      <c r="B19" s="76" t="s">
        <v>41</v>
      </c>
      <c r="C19" s="262">
        <v>0</v>
      </c>
    </row>
    <row r="20" spans="1:3" s="4" customFormat="1" ht="25.5">
      <c r="A20" s="138">
        <v>15</v>
      </c>
      <c r="B20" s="76" t="s">
        <v>42</v>
      </c>
      <c r="C20" s="262">
        <v>0</v>
      </c>
    </row>
    <row r="21" spans="1:3" s="4" customFormat="1" ht="25.5">
      <c r="A21" s="138">
        <v>16</v>
      </c>
      <c r="B21" s="75" t="s">
        <v>43</v>
      </c>
      <c r="C21" s="262">
        <v>0</v>
      </c>
    </row>
    <row r="22" spans="1:3" s="4" customFormat="1">
      <c r="A22" s="138">
        <v>17</v>
      </c>
      <c r="B22" s="139" t="s">
        <v>44</v>
      </c>
      <c r="C22" s="262">
        <v>0</v>
      </c>
    </row>
    <row r="23" spans="1:3" s="4" customFormat="1" ht="25.5">
      <c r="A23" s="138">
        <v>18</v>
      </c>
      <c r="B23" s="75" t="s">
        <v>45</v>
      </c>
      <c r="C23" s="262">
        <v>0</v>
      </c>
    </row>
    <row r="24" spans="1:3" s="4" customFormat="1" ht="25.5">
      <c r="A24" s="138">
        <v>19</v>
      </c>
      <c r="B24" s="75" t="s">
        <v>46</v>
      </c>
      <c r="C24" s="262">
        <v>0</v>
      </c>
    </row>
    <row r="25" spans="1:3" s="4" customFormat="1" ht="25.5">
      <c r="A25" s="138">
        <v>20</v>
      </c>
      <c r="B25" s="78" t="s">
        <v>47</v>
      </c>
      <c r="C25" s="262">
        <v>0</v>
      </c>
    </row>
    <row r="26" spans="1:3" s="4" customFormat="1">
      <c r="A26" s="138">
        <v>21</v>
      </c>
      <c r="B26" s="78" t="s">
        <v>48</v>
      </c>
      <c r="C26" s="262">
        <v>0</v>
      </c>
    </row>
    <row r="27" spans="1:3" s="4" customFormat="1" ht="25.5">
      <c r="A27" s="138">
        <v>22</v>
      </c>
      <c r="B27" s="78" t="s">
        <v>49</v>
      </c>
      <c r="C27" s="262">
        <v>0</v>
      </c>
    </row>
    <row r="28" spans="1:3" s="4" customFormat="1">
      <c r="A28" s="138">
        <v>23</v>
      </c>
      <c r="B28" s="84" t="s">
        <v>23</v>
      </c>
      <c r="C28" s="261">
        <f>C6-C12</f>
        <v>117539309.89999998</v>
      </c>
    </row>
    <row r="29" spans="1:3" s="4" customFormat="1">
      <c r="A29" s="140"/>
      <c r="B29" s="79"/>
      <c r="C29" s="262"/>
    </row>
    <row r="30" spans="1:3" s="4" customFormat="1">
      <c r="A30" s="140">
        <v>24</v>
      </c>
      <c r="B30" s="84" t="s">
        <v>50</v>
      </c>
      <c r="C30" s="261">
        <f>C31+C34</f>
        <v>0</v>
      </c>
    </row>
    <row r="31" spans="1:3" s="4" customFormat="1">
      <c r="A31" s="140">
        <v>25</v>
      </c>
      <c r="B31" s="74" t="s">
        <v>51</v>
      </c>
      <c r="C31" s="263">
        <f>C32+C33</f>
        <v>0</v>
      </c>
    </row>
    <row r="32" spans="1:3" s="4" customFormat="1">
      <c r="A32" s="140">
        <v>26</v>
      </c>
      <c r="B32" s="178" t="s">
        <v>52</v>
      </c>
      <c r="C32" s="262">
        <v>0</v>
      </c>
    </row>
    <row r="33" spans="1:3" s="4" customFormat="1">
      <c r="A33" s="140">
        <v>27</v>
      </c>
      <c r="B33" s="178" t="s">
        <v>53</v>
      </c>
      <c r="C33" s="262">
        <v>0</v>
      </c>
    </row>
    <row r="34" spans="1:3" s="4" customFormat="1">
      <c r="A34" s="140">
        <v>28</v>
      </c>
      <c r="B34" s="74" t="s">
        <v>54</v>
      </c>
      <c r="C34" s="262">
        <v>0</v>
      </c>
    </row>
    <row r="35" spans="1:3" s="4" customFormat="1">
      <c r="A35" s="140">
        <v>29</v>
      </c>
      <c r="B35" s="84" t="s">
        <v>55</v>
      </c>
      <c r="C35" s="261">
        <f>SUM(C36:C40)</f>
        <v>0</v>
      </c>
    </row>
    <row r="36" spans="1:3" s="4" customFormat="1">
      <c r="A36" s="140">
        <v>30</v>
      </c>
      <c r="B36" s="75" t="s">
        <v>56</v>
      </c>
      <c r="C36" s="262">
        <v>0</v>
      </c>
    </row>
    <row r="37" spans="1:3" s="4" customFormat="1">
      <c r="A37" s="140">
        <v>31</v>
      </c>
      <c r="B37" s="76" t="s">
        <v>57</v>
      </c>
      <c r="C37" s="262">
        <v>0</v>
      </c>
    </row>
    <row r="38" spans="1:3" s="4" customFormat="1" ht="25.5">
      <c r="A38" s="140">
        <v>32</v>
      </c>
      <c r="B38" s="75" t="s">
        <v>58</v>
      </c>
      <c r="C38" s="262">
        <v>0</v>
      </c>
    </row>
    <row r="39" spans="1:3" s="4" customFormat="1" ht="25.5">
      <c r="A39" s="140">
        <v>33</v>
      </c>
      <c r="B39" s="75" t="s">
        <v>46</v>
      </c>
      <c r="C39" s="262">
        <v>0</v>
      </c>
    </row>
    <row r="40" spans="1:3" s="4" customFormat="1" ht="25.5">
      <c r="A40" s="140">
        <v>34</v>
      </c>
      <c r="B40" s="78" t="s">
        <v>59</v>
      </c>
      <c r="C40" s="262">
        <v>0</v>
      </c>
    </row>
    <row r="41" spans="1:3" s="4" customFormat="1">
      <c r="A41" s="140">
        <v>35</v>
      </c>
      <c r="B41" s="84" t="s">
        <v>24</v>
      </c>
      <c r="C41" s="261">
        <f>C30-C35</f>
        <v>0</v>
      </c>
    </row>
    <row r="42" spans="1:3" s="4" customFormat="1">
      <c r="A42" s="140"/>
      <c r="B42" s="79"/>
      <c r="C42" s="262"/>
    </row>
    <row r="43" spans="1:3" s="4" customFormat="1">
      <c r="A43" s="140">
        <v>36</v>
      </c>
      <c r="B43" s="85" t="s">
        <v>60</v>
      </c>
      <c r="C43" s="261">
        <f>SUM(C44:C46)</f>
        <v>52893281.370435596</v>
      </c>
    </row>
    <row r="44" spans="1:3" s="4" customFormat="1">
      <c r="A44" s="140">
        <v>37</v>
      </c>
      <c r="B44" s="74" t="s">
        <v>61</v>
      </c>
      <c r="C44" s="262">
        <v>40645476.57</v>
      </c>
    </row>
    <row r="45" spans="1:3" s="4" customFormat="1">
      <c r="A45" s="140">
        <v>38</v>
      </c>
      <c r="B45" s="74" t="s">
        <v>62</v>
      </c>
      <c r="C45" s="262">
        <v>0</v>
      </c>
    </row>
    <row r="46" spans="1:3" s="4" customFormat="1">
      <c r="A46" s="140">
        <v>39</v>
      </c>
      <c r="B46" s="74" t="s">
        <v>63</v>
      </c>
      <c r="C46" s="262">
        <v>12247804.800435595</v>
      </c>
    </row>
    <row r="47" spans="1:3" s="4" customFormat="1">
      <c r="A47" s="140">
        <v>40</v>
      </c>
      <c r="B47" s="85" t="s">
        <v>64</v>
      </c>
      <c r="C47" s="261">
        <f>SUM(C48:C51)</f>
        <v>0</v>
      </c>
    </row>
    <row r="48" spans="1:3" s="4" customFormat="1">
      <c r="A48" s="140">
        <v>41</v>
      </c>
      <c r="B48" s="75" t="s">
        <v>65</v>
      </c>
      <c r="C48" s="262">
        <v>0</v>
      </c>
    </row>
    <row r="49" spans="1:3" s="4" customFormat="1">
      <c r="A49" s="140">
        <v>42</v>
      </c>
      <c r="B49" s="76" t="s">
        <v>66</v>
      </c>
      <c r="C49" s="262">
        <v>0</v>
      </c>
    </row>
    <row r="50" spans="1:3" s="4" customFormat="1" ht="25.5">
      <c r="A50" s="140">
        <v>43</v>
      </c>
      <c r="B50" s="75" t="s">
        <v>67</v>
      </c>
      <c r="C50" s="262">
        <v>0</v>
      </c>
    </row>
    <row r="51" spans="1:3" s="4" customFormat="1" ht="25.5">
      <c r="A51" s="140">
        <v>44</v>
      </c>
      <c r="B51" s="75" t="s">
        <v>46</v>
      </c>
      <c r="C51" s="262">
        <v>0</v>
      </c>
    </row>
    <row r="52" spans="1:3" s="4" customFormat="1" ht="15.75" thickBot="1">
      <c r="A52" s="141">
        <v>45</v>
      </c>
      <c r="B52" s="142" t="s">
        <v>25</v>
      </c>
      <c r="C52" s="264">
        <f>C43-C47</f>
        <v>52893281.370435596</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7" sqref="C7:D21"/>
    </sheetView>
  </sheetViews>
  <sheetFormatPr defaultColWidth="9.140625" defaultRowHeight="12.75"/>
  <cols>
    <col min="1" max="1" width="10.85546875" style="307" bestFit="1" customWidth="1"/>
    <col min="2" max="2" width="59" style="307" customWidth="1"/>
    <col min="3" max="3" width="16.7109375" style="307" bestFit="1" customWidth="1"/>
    <col min="4" max="4" width="22.140625" style="307" customWidth="1"/>
    <col min="5" max="16384" width="9.140625" style="307"/>
  </cols>
  <sheetData>
    <row r="1" spans="1:4" ht="15">
      <c r="A1" s="18" t="s">
        <v>188</v>
      </c>
      <c r="B1" s="17" t="str">
        <f>Info!C2</f>
        <v>ს.ს. "ტერაბანკი"</v>
      </c>
    </row>
    <row r="2" spans="1:4" s="22" customFormat="1" ht="15.75" customHeight="1">
      <c r="A2" s="22" t="s">
        <v>189</v>
      </c>
      <c r="B2" s="435">
        <f>'1. key ratios'!B2</f>
        <v>44377</v>
      </c>
    </row>
    <row r="3" spans="1:4" s="22" customFormat="1" ht="15.75" customHeight="1"/>
    <row r="4" spans="1:4" ht="13.5" thickBot="1">
      <c r="A4" s="308" t="s">
        <v>399</v>
      </c>
      <c r="B4" s="343" t="s">
        <v>400</v>
      </c>
    </row>
    <row r="5" spans="1:4" s="344" customFormat="1">
      <c r="A5" s="690" t="s">
        <v>401</v>
      </c>
      <c r="B5" s="691"/>
      <c r="C5" s="333" t="s">
        <v>402</v>
      </c>
      <c r="D5" s="334" t="s">
        <v>403</v>
      </c>
    </row>
    <row r="6" spans="1:4" s="345" customFormat="1">
      <c r="A6" s="335">
        <v>1</v>
      </c>
      <c r="B6" s="336" t="s">
        <v>404</v>
      </c>
      <c r="C6" s="336"/>
      <c r="D6" s="337"/>
    </row>
    <row r="7" spans="1:4" s="345" customFormat="1">
      <c r="A7" s="338" t="s">
        <v>405</v>
      </c>
      <c r="B7" s="339" t="s">
        <v>406</v>
      </c>
      <c r="C7" s="391">
        <v>4.4999999999999998E-2</v>
      </c>
      <c r="D7" s="598">
        <v>49753796.442068137</v>
      </c>
    </row>
    <row r="8" spans="1:4" s="345" customFormat="1">
      <c r="A8" s="338" t="s">
        <v>407</v>
      </c>
      <c r="B8" s="339" t="s">
        <v>408</v>
      </c>
      <c r="C8" s="392">
        <v>0.06</v>
      </c>
      <c r="D8" s="598">
        <v>66338395.25609085</v>
      </c>
    </row>
    <row r="9" spans="1:4" s="345" customFormat="1">
      <c r="A9" s="338" t="s">
        <v>409</v>
      </c>
      <c r="B9" s="339" t="s">
        <v>410</v>
      </c>
      <c r="C9" s="392">
        <v>0.08</v>
      </c>
      <c r="D9" s="598">
        <v>88451193.674787804</v>
      </c>
    </row>
    <row r="10" spans="1:4" s="345" customFormat="1">
      <c r="A10" s="335" t="s">
        <v>411</v>
      </c>
      <c r="B10" s="336" t="s">
        <v>412</v>
      </c>
      <c r="C10" s="393"/>
      <c r="D10" s="596"/>
    </row>
    <row r="11" spans="1:4" s="346" customFormat="1">
      <c r="A11" s="340" t="s">
        <v>413</v>
      </c>
      <c r="B11" s="341" t="s">
        <v>475</v>
      </c>
      <c r="C11" s="394">
        <v>0</v>
      </c>
      <c r="D11" s="595">
        <v>0</v>
      </c>
    </row>
    <row r="12" spans="1:4" s="346" customFormat="1">
      <c r="A12" s="340" t="s">
        <v>414</v>
      </c>
      <c r="B12" s="341" t="s">
        <v>415</v>
      </c>
      <c r="C12" s="394">
        <v>0</v>
      </c>
      <c r="D12" s="595">
        <v>0</v>
      </c>
    </row>
    <row r="13" spans="1:4" s="346" customFormat="1">
      <c r="A13" s="340" t="s">
        <v>416</v>
      </c>
      <c r="B13" s="341" t="s">
        <v>417</v>
      </c>
      <c r="C13" s="394">
        <v>0</v>
      </c>
      <c r="D13" s="595">
        <v>0</v>
      </c>
    </row>
    <row r="14" spans="1:4" s="345" customFormat="1">
      <c r="A14" s="335" t="s">
        <v>418</v>
      </c>
      <c r="B14" s="336" t="s">
        <v>473</v>
      </c>
      <c r="C14" s="395"/>
      <c r="D14" s="596"/>
    </row>
    <row r="15" spans="1:4" s="345" customFormat="1">
      <c r="A15" s="357" t="s">
        <v>421</v>
      </c>
      <c r="B15" s="341" t="s">
        <v>474</v>
      </c>
      <c r="C15" s="394">
        <v>1.6107497667945475E-2</v>
      </c>
      <c r="D15" s="595">
        <v>17809092.448045477</v>
      </c>
    </row>
    <row r="16" spans="1:4" s="345" customFormat="1">
      <c r="A16" s="357" t="s">
        <v>422</v>
      </c>
      <c r="B16" s="341" t="s">
        <v>424</v>
      </c>
      <c r="C16" s="394">
        <v>2.1506807157295131E-2</v>
      </c>
      <c r="D16" s="595">
        <v>23778784.564952802</v>
      </c>
    </row>
    <row r="17" spans="1:6" s="345" customFormat="1">
      <c r="A17" s="357" t="s">
        <v>423</v>
      </c>
      <c r="B17" s="341" t="s">
        <v>471</v>
      </c>
      <c r="C17" s="394">
        <v>4.5854322884182272E-2</v>
      </c>
      <c r="D17" s="595">
        <v>50698369.928188257</v>
      </c>
    </row>
    <row r="18" spans="1:6" s="344" customFormat="1">
      <c r="A18" s="692" t="s">
        <v>472</v>
      </c>
      <c r="B18" s="693"/>
      <c r="C18" s="396" t="s">
        <v>402</v>
      </c>
      <c r="D18" s="597" t="s">
        <v>403</v>
      </c>
    </row>
    <row r="19" spans="1:6" s="345" customFormat="1">
      <c r="A19" s="342">
        <v>4</v>
      </c>
      <c r="B19" s="341" t="s">
        <v>23</v>
      </c>
      <c r="C19" s="394">
        <v>6.1107497667945473E-2</v>
      </c>
      <c r="D19" s="598">
        <v>67562888.890113622</v>
      </c>
    </row>
    <row r="20" spans="1:6" s="345" customFormat="1">
      <c r="A20" s="342">
        <v>5</v>
      </c>
      <c r="B20" s="341" t="s">
        <v>89</v>
      </c>
      <c r="C20" s="394">
        <v>8.1506807157295136E-2</v>
      </c>
      <c r="D20" s="598">
        <v>90117179.82104367</v>
      </c>
    </row>
    <row r="21" spans="1:6" s="345" customFormat="1" ht="13.5" thickBot="1">
      <c r="A21" s="347" t="s">
        <v>419</v>
      </c>
      <c r="B21" s="348" t="s">
        <v>88</v>
      </c>
      <c r="C21" s="397">
        <v>0.12585432288418227</v>
      </c>
      <c r="D21" s="599">
        <v>139149563.60297608</v>
      </c>
    </row>
    <row r="22" spans="1:6">
      <c r="F22" s="308"/>
    </row>
    <row r="23" spans="1:6" ht="63.75">
      <c r="B23" s="24" t="s">
        <v>476</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pane="topRight" activeCell="B1" sqref="B1"/>
      <selection pane="bottomLeft" activeCell="A5" sqref="A5"/>
      <selection pane="bottomRight" activeCell="C6" sqref="C6:C45"/>
    </sheetView>
  </sheetViews>
  <sheetFormatPr defaultRowHeight="15.75"/>
  <cols>
    <col min="1" max="1" width="10.7109375" style="70" customWidth="1"/>
    <col min="2" max="2" width="91.85546875" style="70" customWidth="1"/>
    <col min="3" max="3" width="53.140625" style="70" customWidth="1"/>
    <col min="4" max="4" width="32.28515625" style="70" customWidth="1"/>
    <col min="5" max="5" width="9.42578125" customWidth="1"/>
  </cols>
  <sheetData>
    <row r="1" spans="1:6">
      <c r="A1" s="18" t="s">
        <v>188</v>
      </c>
      <c r="B1" s="20" t="str">
        <f>Info!C2</f>
        <v>ს.ს. "ტერაბანკი"</v>
      </c>
      <c r="E1" s="2"/>
      <c r="F1" s="2"/>
    </row>
    <row r="2" spans="1:6" s="22" customFormat="1" ht="15.75" customHeight="1">
      <c r="A2" s="22" t="s">
        <v>189</v>
      </c>
      <c r="B2" s="435">
        <f>'1. key ratios'!B2</f>
        <v>44377</v>
      </c>
    </row>
    <row r="3" spans="1:6" s="22" customFormat="1" ht="15.75" customHeight="1">
      <c r="A3" s="27"/>
    </row>
    <row r="4" spans="1:6" s="22" customFormat="1" ht="15.75" customHeight="1" thickBot="1">
      <c r="A4" s="22" t="s">
        <v>337</v>
      </c>
      <c r="B4" s="201" t="s">
        <v>269</v>
      </c>
      <c r="D4" s="203" t="s">
        <v>93</v>
      </c>
    </row>
    <row r="5" spans="1:6" ht="38.25">
      <c r="A5" s="154" t="s">
        <v>26</v>
      </c>
      <c r="B5" s="155" t="s">
        <v>231</v>
      </c>
      <c r="C5" s="156" t="s">
        <v>237</v>
      </c>
      <c r="D5" s="202" t="s">
        <v>270</v>
      </c>
    </row>
    <row r="6" spans="1:6">
      <c r="A6" s="143">
        <v>1</v>
      </c>
      <c r="B6" s="86" t="s">
        <v>154</v>
      </c>
      <c r="C6" s="600">
        <v>43366972.600000016</v>
      </c>
      <c r="D6" s="144"/>
      <c r="E6" s="8"/>
    </row>
    <row r="7" spans="1:6">
      <c r="A7" s="143">
        <v>2</v>
      </c>
      <c r="B7" s="87" t="s">
        <v>155</v>
      </c>
      <c r="C7" s="601">
        <v>172709662.09</v>
      </c>
      <c r="D7" s="145"/>
      <c r="E7" s="8"/>
    </row>
    <row r="8" spans="1:6">
      <c r="A8" s="143">
        <v>3</v>
      </c>
      <c r="B8" s="87" t="s">
        <v>156</v>
      </c>
      <c r="C8" s="601">
        <v>23184269.640000001</v>
      </c>
      <c r="D8" s="145"/>
      <c r="E8" s="8"/>
    </row>
    <row r="9" spans="1:6">
      <c r="A9" s="143">
        <v>4</v>
      </c>
      <c r="B9" s="87" t="s">
        <v>185</v>
      </c>
      <c r="C9" s="601">
        <v>0</v>
      </c>
      <c r="D9" s="145"/>
      <c r="E9" s="8"/>
    </row>
    <row r="10" spans="1:6">
      <c r="A10" s="143">
        <v>5</v>
      </c>
      <c r="B10" s="87" t="s">
        <v>157</v>
      </c>
      <c r="C10" s="601">
        <v>122129070.13</v>
      </c>
      <c r="D10" s="145"/>
      <c r="E10" s="8"/>
    </row>
    <row r="11" spans="1:6">
      <c r="A11" s="143">
        <v>6.1</v>
      </c>
      <c r="B11" s="87" t="s">
        <v>158</v>
      </c>
      <c r="C11" s="602">
        <v>949967386.11999881</v>
      </c>
      <c r="D11" s="146"/>
      <c r="E11" s="9"/>
    </row>
    <row r="12" spans="1:6">
      <c r="A12" s="143">
        <v>6.2</v>
      </c>
      <c r="B12" s="88" t="s">
        <v>159</v>
      </c>
      <c r="C12" s="602">
        <v>-53338051.870000102</v>
      </c>
      <c r="D12" s="146"/>
      <c r="E12" s="9"/>
    </row>
    <row r="13" spans="1:6">
      <c r="A13" s="143" t="s">
        <v>371</v>
      </c>
      <c r="B13" s="89" t="s">
        <v>372</v>
      </c>
      <c r="C13" s="602">
        <v>-14811553.010000039</v>
      </c>
      <c r="D13" s="146"/>
      <c r="E13" s="9"/>
    </row>
    <row r="14" spans="1:6">
      <c r="A14" s="143" t="s">
        <v>495</v>
      </c>
      <c r="B14" s="89" t="s">
        <v>484</v>
      </c>
      <c r="C14" s="602">
        <v>-1621297.71</v>
      </c>
      <c r="D14" s="146"/>
      <c r="E14" s="9"/>
    </row>
    <row r="15" spans="1:6">
      <c r="A15" s="143">
        <v>6</v>
      </c>
      <c r="B15" s="87" t="s">
        <v>160</v>
      </c>
      <c r="C15" s="603">
        <v>896629334.24999869</v>
      </c>
      <c r="D15" s="146"/>
      <c r="E15" s="8"/>
    </row>
    <row r="16" spans="1:6">
      <c r="A16" s="143">
        <v>7</v>
      </c>
      <c r="B16" s="87" t="s">
        <v>161</v>
      </c>
      <c r="C16" s="601">
        <v>13697081.599999959</v>
      </c>
      <c r="D16" s="145"/>
      <c r="E16" s="8"/>
    </row>
    <row r="17" spans="1:5">
      <c r="A17" s="143">
        <v>8</v>
      </c>
      <c r="B17" s="87" t="s">
        <v>162</v>
      </c>
      <c r="C17" s="601">
        <v>3070297.77000002</v>
      </c>
      <c r="D17" s="145"/>
      <c r="E17" s="8"/>
    </row>
    <row r="18" spans="1:5">
      <c r="A18" s="143">
        <v>9</v>
      </c>
      <c r="B18" s="87" t="s">
        <v>163</v>
      </c>
      <c r="C18" s="601">
        <v>0</v>
      </c>
      <c r="D18" s="145"/>
      <c r="E18" s="8"/>
    </row>
    <row r="19" spans="1:5">
      <c r="A19" s="143">
        <v>9.1</v>
      </c>
      <c r="B19" s="89" t="s">
        <v>246</v>
      </c>
      <c r="C19" s="602">
        <v>0</v>
      </c>
      <c r="D19" s="145"/>
      <c r="E19" s="8"/>
    </row>
    <row r="20" spans="1:5">
      <c r="A20" s="143">
        <v>9.1999999999999993</v>
      </c>
      <c r="B20" s="89" t="s">
        <v>236</v>
      </c>
      <c r="C20" s="602">
        <v>0</v>
      </c>
      <c r="D20" s="145"/>
      <c r="E20" s="8"/>
    </row>
    <row r="21" spans="1:5">
      <c r="A21" s="143">
        <v>9.3000000000000007</v>
      </c>
      <c r="B21" s="89" t="s">
        <v>235</v>
      </c>
      <c r="C21" s="602">
        <v>0</v>
      </c>
      <c r="D21" s="145"/>
      <c r="E21" s="8"/>
    </row>
    <row r="22" spans="1:5">
      <c r="A22" s="143">
        <v>10</v>
      </c>
      <c r="B22" s="87" t="s">
        <v>164</v>
      </c>
      <c r="C22" s="601">
        <v>46329030.339999989</v>
      </c>
      <c r="D22" s="145"/>
      <c r="E22" s="8"/>
    </row>
    <row r="23" spans="1:5">
      <c r="A23" s="143">
        <v>10.1</v>
      </c>
      <c r="B23" s="89" t="s">
        <v>234</v>
      </c>
      <c r="C23" s="601">
        <v>22987679</v>
      </c>
      <c r="D23" s="229" t="s">
        <v>344</v>
      </c>
      <c r="E23" s="8"/>
    </row>
    <row r="24" spans="1:5">
      <c r="A24" s="143">
        <v>11</v>
      </c>
      <c r="B24" s="90" t="s">
        <v>165</v>
      </c>
      <c r="C24" s="604">
        <v>12974068.432999998</v>
      </c>
      <c r="D24" s="147"/>
      <c r="E24" s="8"/>
    </row>
    <row r="25" spans="1:5">
      <c r="A25" s="143">
        <v>12</v>
      </c>
      <c r="B25" s="92" t="s">
        <v>166</v>
      </c>
      <c r="C25" s="265">
        <f>SUM(C6:C10,C15:C18,C22,C24)</f>
        <v>1334089786.8529985</v>
      </c>
      <c r="D25" s="148"/>
      <c r="E25" s="7"/>
    </row>
    <row r="26" spans="1:5">
      <c r="A26" s="143">
        <v>13</v>
      </c>
      <c r="B26" s="87" t="s">
        <v>167</v>
      </c>
      <c r="C26" s="605">
        <v>64072.07</v>
      </c>
      <c r="D26" s="149"/>
      <c r="E26" s="8"/>
    </row>
    <row r="27" spans="1:5">
      <c r="A27" s="143">
        <v>14</v>
      </c>
      <c r="B27" s="87" t="s">
        <v>168</v>
      </c>
      <c r="C27" s="601">
        <v>230571969.70011047</v>
      </c>
      <c r="D27" s="145"/>
      <c r="E27" s="8"/>
    </row>
    <row r="28" spans="1:5">
      <c r="A28" s="143">
        <v>15</v>
      </c>
      <c r="B28" s="87" t="s">
        <v>169</v>
      </c>
      <c r="C28" s="601">
        <v>249008804.19999969</v>
      </c>
      <c r="D28" s="145"/>
      <c r="E28" s="8"/>
    </row>
    <row r="29" spans="1:5">
      <c r="A29" s="143">
        <v>16</v>
      </c>
      <c r="B29" s="87" t="s">
        <v>170</v>
      </c>
      <c r="C29" s="601">
        <v>384764893.41000032</v>
      </c>
      <c r="D29" s="145"/>
      <c r="E29" s="8"/>
    </row>
    <row r="30" spans="1:5">
      <c r="A30" s="143">
        <v>17</v>
      </c>
      <c r="B30" s="87" t="s">
        <v>171</v>
      </c>
      <c r="C30" s="601">
        <v>0</v>
      </c>
      <c r="D30" s="145"/>
      <c r="E30" s="8"/>
    </row>
    <row r="31" spans="1:5">
      <c r="A31" s="143">
        <v>18</v>
      </c>
      <c r="B31" s="87" t="s">
        <v>172</v>
      </c>
      <c r="C31" s="601">
        <v>234497608</v>
      </c>
      <c r="D31" s="145"/>
      <c r="E31" s="8"/>
    </row>
    <row r="32" spans="1:5">
      <c r="A32" s="143">
        <v>19</v>
      </c>
      <c r="B32" s="87" t="s">
        <v>173</v>
      </c>
      <c r="C32" s="601">
        <v>6070131.2200000025</v>
      </c>
      <c r="D32" s="145"/>
      <c r="E32" s="8"/>
    </row>
    <row r="33" spans="1:5">
      <c r="A33" s="143">
        <v>20</v>
      </c>
      <c r="B33" s="87" t="s">
        <v>95</v>
      </c>
      <c r="C33" s="601">
        <v>27352731.929999992</v>
      </c>
      <c r="D33" s="145"/>
      <c r="E33" s="8"/>
    </row>
    <row r="34" spans="1:5">
      <c r="A34" s="143">
        <v>20.100000000000001</v>
      </c>
      <c r="B34" s="91" t="s">
        <v>370</v>
      </c>
      <c r="C34" s="604">
        <v>881987.83</v>
      </c>
      <c r="D34" s="147"/>
      <c r="E34" s="8"/>
    </row>
    <row r="35" spans="1:5">
      <c r="A35" s="143">
        <v>21</v>
      </c>
      <c r="B35" s="90" t="s">
        <v>174</v>
      </c>
      <c r="C35" s="604">
        <v>61232587.399999999</v>
      </c>
      <c r="D35" s="147"/>
      <c r="E35" s="8"/>
    </row>
    <row r="36" spans="1:5">
      <c r="A36" s="143">
        <v>21.1</v>
      </c>
      <c r="B36" s="91" t="s">
        <v>233</v>
      </c>
      <c r="C36" s="606">
        <v>40645476.57</v>
      </c>
      <c r="D36" s="150"/>
      <c r="E36" s="8"/>
    </row>
    <row r="37" spans="1:5">
      <c r="A37" s="143">
        <v>22</v>
      </c>
      <c r="B37" s="92" t="s">
        <v>175</v>
      </c>
      <c r="C37" s="265">
        <f>SUM(C26:C35)</f>
        <v>1194444785.7601106</v>
      </c>
      <c r="D37" s="148"/>
      <c r="E37" s="7"/>
    </row>
    <row r="38" spans="1:5">
      <c r="A38" s="143">
        <v>23</v>
      </c>
      <c r="B38" s="90" t="s">
        <v>176</v>
      </c>
      <c r="C38" s="601">
        <v>121372000</v>
      </c>
      <c r="D38" s="145"/>
      <c r="E38" s="8"/>
    </row>
    <row r="39" spans="1:5">
      <c r="A39" s="143">
        <v>24</v>
      </c>
      <c r="B39" s="90" t="s">
        <v>177</v>
      </c>
      <c r="C39" s="601">
        <v>0</v>
      </c>
      <c r="D39" s="145"/>
      <c r="E39" s="8"/>
    </row>
    <row r="40" spans="1:5">
      <c r="A40" s="143">
        <v>25</v>
      </c>
      <c r="B40" s="90" t="s">
        <v>232</v>
      </c>
      <c r="C40" s="601">
        <v>0</v>
      </c>
      <c r="D40" s="145"/>
      <c r="E40" s="8"/>
    </row>
    <row r="41" spans="1:5">
      <c r="A41" s="143">
        <v>26</v>
      </c>
      <c r="B41" s="90" t="s">
        <v>179</v>
      </c>
      <c r="C41" s="601">
        <v>0</v>
      </c>
      <c r="D41" s="145"/>
      <c r="E41" s="8"/>
    </row>
    <row r="42" spans="1:5">
      <c r="A42" s="143">
        <v>27</v>
      </c>
      <c r="B42" s="90" t="s">
        <v>180</v>
      </c>
      <c r="C42" s="601">
        <v>0</v>
      </c>
      <c r="D42" s="145"/>
      <c r="E42" s="8"/>
    </row>
    <row r="43" spans="1:5">
      <c r="A43" s="143">
        <v>28</v>
      </c>
      <c r="B43" s="90" t="s">
        <v>181</v>
      </c>
      <c r="C43" s="601">
        <v>19154988.900000006</v>
      </c>
      <c r="D43" s="145"/>
      <c r="E43" s="8"/>
    </row>
    <row r="44" spans="1:5">
      <c r="A44" s="143">
        <v>29</v>
      </c>
      <c r="B44" s="90" t="s">
        <v>35</v>
      </c>
      <c r="C44" s="601">
        <v>0</v>
      </c>
      <c r="D44" s="145"/>
      <c r="E44" s="8"/>
    </row>
    <row r="45" spans="1:5" ht="16.5" thickBot="1">
      <c r="A45" s="151">
        <v>30</v>
      </c>
      <c r="B45" s="152" t="s">
        <v>182</v>
      </c>
      <c r="C45" s="266">
        <f>SUM(C38:C44)</f>
        <v>140526988.90000001</v>
      </c>
      <c r="D45" s="153"/>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M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2" bestFit="1" customWidth="1"/>
    <col min="2" max="2" width="95" style="2" customWidth="1"/>
    <col min="3" max="3" width="14.5703125" style="2" bestFit="1" customWidth="1"/>
    <col min="4" max="4" width="13.42578125" style="2" bestFit="1" customWidth="1"/>
    <col min="5" max="5" width="13.5703125" style="2" bestFit="1" customWidth="1"/>
    <col min="6" max="6" width="13.42578125" style="2" bestFit="1" customWidth="1"/>
    <col min="7" max="7" width="14.5703125" style="2" bestFit="1" customWidth="1"/>
    <col min="8" max="8" width="13.42578125" style="2" bestFit="1" customWidth="1"/>
    <col min="9" max="9" width="12.42578125" style="2" bestFit="1" customWidth="1"/>
    <col min="10" max="10" width="13.42578125" style="2" bestFit="1" customWidth="1"/>
    <col min="11" max="11" width="14.5703125" style="2" bestFit="1" customWidth="1"/>
    <col min="12" max="12" width="13.42578125" style="2" bestFit="1" customWidth="1"/>
    <col min="13" max="13" width="14.5703125" style="2" bestFit="1" customWidth="1"/>
    <col min="14" max="14" width="13.5703125" style="2" bestFit="1" customWidth="1"/>
    <col min="15" max="15" width="12.42578125" style="2" bestFit="1" customWidth="1"/>
    <col min="16" max="16" width="13.42578125" style="2" bestFit="1" customWidth="1"/>
    <col min="17" max="17" width="9.5703125" style="2" bestFit="1" customWidth="1"/>
    <col min="18" max="18" width="13.42578125" style="2" bestFit="1" customWidth="1"/>
    <col min="19" max="19" width="31.5703125" style="2" bestFit="1" customWidth="1"/>
    <col min="20" max="16384" width="9.140625" style="13"/>
  </cols>
  <sheetData>
    <row r="1" spans="1:19">
      <c r="A1" s="2" t="s">
        <v>188</v>
      </c>
      <c r="B1" s="307" t="str">
        <f>Info!C2</f>
        <v>ს.ს. "ტერაბანკი"</v>
      </c>
    </row>
    <row r="2" spans="1:19">
      <c r="A2" s="2" t="s">
        <v>189</v>
      </c>
      <c r="B2" s="435">
        <f>'1. key ratios'!B2</f>
        <v>44377</v>
      </c>
    </row>
    <row r="4" spans="1:19" ht="39" thickBot="1">
      <c r="A4" s="69" t="s">
        <v>338</v>
      </c>
      <c r="B4" s="277" t="s">
        <v>360</v>
      </c>
    </row>
    <row r="5" spans="1:19">
      <c r="A5" s="132"/>
      <c r="B5" s="134"/>
      <c r="C5" s="118" t="s">
        <v>0</v>
      </c>
      <c r="D5" s="118" t="s">
        <v>1</v>
      </c>
      <c r="E5" s="118" t="s">
        <v>2</v>
      </c>
      <c r="F5" s="118" t="s">
        <v>3</v>
      </c>
      <c r="G5" s="118" t="s">
        <v>4</v>
      </c>
      <c r="H5" s="118" t="s">
        <v>5</v>
      </c>
      <c r="I5" s="118" t="s">
        <v>238</v>
      </c>
      <c r="J5" s="118" t="s">
        <v>239</v>
      </c>
      <c r="K5" s="118" t="s">
        <v>240</v>
      </c>
      <c r="L5" s="118" t="s">
        <v>241</v>
      </c>
      <c r="M5" s="118" t="s">
        <v>242</v>
      </c>
      <c r="N5" s="118" t="s">
        <v>243</v>
      </c>
      <c r="O5" s="118" t="s">
        <v>347</v>
      </c>
      <c r="P5" s="118" t="s">
        <v>348</v>
      </c>
      <c r="Q5" s="118" t="s">
        <v>349</v>
      </c>
      <c r="R5" s="272" t="s">
        <v>350</v>
      </c>
      <c r="S5" s="119" t="s">
        <v>351</v>
      </c>
    </row>
    <row r="6" spans="1:19" ht="46.5" customHeight="1">
      <c r="A6" s="158"/>
      <c r="B6" s="698" t="s">
        <v>352</v>
      </c>
      <c r="C6" s="696">
        <v>0</v>
      </c>
      <c r="D6" s="697"/>
      <c r="E6" s="696">
        <v>0.2</v>
      </c>
      <c r="F6" s="697"/>
      <c r="G6" s="696">
        <v>0.35</v>
      </c>
      <c r="H6" s="697"/>
      <c r="I6" s="696">
        <v>0.5</v>
      </c>
      <c r="J6" s="697"/>
      <c r="K6" s="696">
        <v>0.75</v>
      </c>
      <c r="L6" s="697"/>
      <c r="M6" s="696">
        <v>1</v>
      </c>
      <c r="N6" s="697"/>
      <c r="O6" s="696">
        <v>1.5</v>
      </c>
      <c r="P6" s="697"/>
      <c r="Q6" s="696">
        <v>2.5</v>
      </c>
      <c r="R6" s="697"/>
      <c r="S6" s="694" t="s">
        <v>251</v>
      </c>
    </row>
    <row r="7" spans="1:19">
      <c r="A7" s="158"/>
      <c r="B7" s="699"/>
      <c r="C7" s="276" t="s">
        <v>345</v>
      </c>
      <c r="D7" s="276" t="s">
        <v>346</v>
      </c>
      <c r="E7" s="276" t="s">
        <v>345</v>
      </c>
      <c r="F7" s="276" t="s">
        <v>346</v>
      </c>
      <c r="G7" s="276" t="s">
        <v>345</v>
      </c>
      <c r="H7" s="276" t="s">
        <v>346</v>
      </c>
      <c r="I7" s="276" t="s">
        <v>345</v>
      </c>
      <c r="J7" s="276" t="s">
        <v>346</v>
      </c>
      <c r="K7" s="276" t="s">
        <v>345</v>
      </c>
      <c r="L7" s="276" t="s">
        <v>346</v>
      </c>
      <c r="M7" s="276" t="s">
        <v>345</v>
      </c>
      <c r="N7" s="276" t="s">
        <v>346</v>
      </c>
      <c r="O7" s="276" t="s">
        <v>345</v>
      </c>
      <c r="P7" s="276" t="s">
        <v>346</v>
      </c>
      <c r="Q7" s="276" t="s">
        <v>345</v>
      </c>
      <c r="R7" s="276" t="s">
        <v>346</v>
      </c>
      <c r="S7" s="695"/>
    </row>
    <row r="8" spans="1:19" s="162" customFormat="1">
      <c r="A8" s="122">
        <v>1</v>
      </c>
      <c r="B8" s="177" t="s">
        <v>216</v>
      </c>
      <c r="C8" s="607">
        <v>141497859.66</v>
      </c>
      <c r="D8" s="607">
        <v>0</v>
      </c>
      <c r="E8" s="607">
        <v>0</v>
      </c>
      <c r="F8" s="608">
        <v>0</v>
      </c>
      <c r="G8" s="607">
        <v>0</v>
      </c>
      <c r="H8" s="607">
        <v>0</v>
      </c>
      <c r="I8" s="607">
        <v>0</v>
      </c>
      <c r="J8" s="607">
        <v>0</v>
      </c>
      <c r="K8" s="607">
        <v>0</v>
      </c>
      <c r="L8" s="607">
        <v>0</v>
      </c>
      <c r="M8" s="607">
        <v>152072202.43000001</v>
      </c>
      <c r="N8" s="607">
        <v>0</v>
      </c>
      <c r="O8" s="607">
        <v>0</v>
      </c>
      <c r="P8" s="607">
        <v>0</v>
      </c>
      <c r="Q8" s="607">
        <v>0</v>
      </c>
      <c r="R8" s="608">
        <v>0</v>
      </c>
      <c r="S8" s="282">
        <f>$C$6*SUM(C8:D8)+$E$6*SUM(E8:F8)+$G$6*SUM(G8:H8)+$I$6*SUM(I8:J8)+$K$6*SUM(K8:L8)+$M$6*SUM(M8:N8)+$O$6*SUM(O8:P8)+$Q$6*SUM(Q8:R8)</f>
        <v>152072202.43000001</v>
      </c>
    </row>
    <row r="9" spans="1:19" s="162" customFormat="1">
      <c r="A9" s="122">
        <v>2</v>
      </c>
      <c r="B9" s="177" t="s">
        <v>217</v>
      </c>
      <c r="C9" s="607">
        <v>0</v>
      </c>
      <c r="D9" s="607">
        <v>0</v>
      </c>
      <c r="E9" s="607">
        <v>0</v>
      </c>
      <c r="F9" s="607">
        <v>0</v>
      </c>
      <c r="G9" s="607">
        <v>0</v>
      </c>
      <c r="H9" s="607">
        <v>0</v>
      </c>
      <c r="I9" s="607">
        <v>0</v>
      </c>
      <c r="J9" s="607">
        <v>0</v>
      </c>
      <c r="K9" s="607">
        <v>0</v>
      </c>
      <c r="L9" s="607">
        <v>0</v>
      </c>
      <c r="M9" s="607">
        <v>0</v>
      </c>
      <c r="N9" s="607">
        <v>0</v>
      </c>
      <c r="O9" s="607">
        <v>0</v>
      </c>
      <c r="P9" s="607">
        <v>0</v>
      </c>
      <c r="Q9" s="607">
        <v>0</v>
      </c>
      <c r="R9" s="608">
        <v>0</v>
      </c>
      <c r="S9" s="282">
        <f t="shared" ref="S9:S21" si="0">$C$6*SUM(C9:D9)+$E$6*SUM(E9:F9)+$G$6*SUM(G9:H9)+$I$6*SUM(I9:J9)+$K$6*SUM(K9:L9)+$M$6*SUM(M9:N9)+$O$6*SUM(O9:P9)+$Q$6*SUM(Q9:R9)</f>
        <v>0</v>
      </c>
    </row>
    <row r="10" spans="1:19" s="162" customFormat="1">
      <c r="A10" s="122">
        <v>3</v>
      </c>
      <c r="B10" s="177" t="s">
        <v>218</v>
      </c>
      <c r="C10" s="607">
        <v>0</v>
      </c>
      <c r="D10" s="607">
        <v>0</v>
      </c>
      <c r="E10" s="607">
        <v>0</v>
      </c>
      <c r="F10" s="607">
        <v>0</v>
      </c>
      <c r="G10" s="607">
        <v>0</v>
      </c>
      <c r="H10" s="607">
        <v>0</v>
      </c>
      <c r="I10" s="607">
        <v>0</v>
      </c>
      <c r="J10" s="607">
        <v>0</v>
      </c>
      <c r="K10" s="607">
        <v>0</v>
      </c>
      <c r="L10" s="607">
        <v>0</v>
      </c>
      <c r="M10" s="607">
        <v>0</v>
      </c>
      <c r="N10" s="607">
        <v>0</v>
      </c>
      <c r="O10" s="607">
        <v>0</v>
      </c>
      <c r="P10" s="607">
        <v>0</v>
      </c>
      <c r="Q10" s="607">
        <v>0</v>
      </c>
      <c r="R10" s="608">
        <v>0</v>
      </c>
      <c r="S10" s="282">
        <f t="shared" si="0"/>
        <v>0</v>
      </c>
    </row>
    <row r="11" spans="1:19" s="162" customFormat="1">
      <c r="A11" s="122">
        <v>4</v>
      </c>
      <c r="B11" s="177" t="s">
        <v>219</v>
      </c>
      <c r="C11" s="607">
        <v>0</v>
      </c>
      <c r="D11" s="607">
        <v>0</v>
      </c>
      <c r="E11" s="607">
        <v>0</v>
      </c>
      <c r="F11" s="607">
        <v>0</v>
      </c>
      <c r="G11" s="607">
        <v>0</v>
      </c>
      <c r="H11" s="607">
        <v>0</v>
      </c>
      <c r="I11" s="607">
        <v>0</v>
      </c>
      <c r="J11" s="607">
        <v>0</v>
      </c>
      <c r="K11" s="607">
        <v>0</v>
      </c>
      <c r="L11" s="607">
        <v>0</v>
      </c>
      <c r="M11" s="607">
        <v>0</v>
      </c>
      <c r="N11" s="607">
        <v>0</v>
      </c>
      <c r="O11" s="607">
        <v>0</v>
      </c>
      <c r="P11" s="607">
        <v>0</v>
      </c>
      <c r="Q11" s="607">
        <v>0</v>
      </c>
      <c r="R11" s="608">
        <v>0</v>
      </c>
      <c r="S11" s="282">
        <f t="shared" si="0"/>
        <v>0</v>
      </c>
    </row>
    <row r="12" spans="1:19" s="162" customFormat="1">
      <c r="A12" s="122">
        <v>5</v>
      </c>
      <c r="B12" s="177" t="s">
        <v>220</v>
      </c>
      <c r="C12" s="607">
        <v>0</v>
      </c>
      <c r="D12" s="607">
        <v>0</v>
      </c>
      <c r="E12" s="607">
        <v>0</v>
      </c>
      <c r="F12" s="607">
        <v>0</v>
      </c>
      <c r="G12" s="607">
        <v>0</v>
      </c>
      <c r="H12" s="607">
        <v>0</v>
      </c>
      <c r="I12" s="607">
        <v>0</v>
      </c>
      <c r="J12" s="607">
        <v>0</v>
      </c>
      <c r="K12" s="607">
        <v>0</v>
      </c>
      <c r="L12" s="607">
        <v>0</v>
      </c>
      <c r="M12" s="607">
        <v>0</v>
      </c>
      <c r="N12" s="607">
        <v>0</v>
      </c>
      <c r="O12" s="607">
        <v>0</v>
      </c>
      <c r="P12" s="607">
        <v>0</v>
      </c>
      <c r="Q12" s="607">
        <v>0</v>
      </c>
      <c r="R12" s="608">
        <v>0</v>
      </c>
      <c r="S12" s="282">
        <f t="shared" si="0"/>
        <v>0</v>
      </c>
    </row>
    <row r="13" spans="1:19" s="162" customFormat="1">
      <c r="A13" s="122">
        <v>6</v>
      </c>
      <c r="B13" s="177" t="s">
        <v>221</v>
      </c>
      <c r="C13" s="607">
        <v>0</v>
      </c>
      <c r="D13" s="607">
        <v>0</v>
      </c>
      <c r="E13" s="607">
        <v>11085369.120000001</v>
      </c>
      <c r="F13" s="607">
        <v>0</v>
      </c>
      <c r="G13" s="607">
        <v>0</v>
      </c>
      <c r="H13" s="607">
        <v>0</v>
      </c>
      <c r="I13" s="607">
        <v>8500896.8600000013</v>
      </c>
      <c r="J13" s="607">
        <v>0</v>
      </c>
      <c r="K13" s="607">
        <v>0</v>
      </c>
      <c r="L13" s="607">
        <v>0</v>
      </c>
      <c r="M13" s="607">
        <v>3598003.66</v>
      </c>
      <c r="N13" s="607">
        <v>0</v>
      </c>
      <c r="O13" s="607">
        <v>0</v>
      </c>
      <c r="P13" s="607">
        <v>0</v>
      </c>
      <c r="Q13" s="607">
        <v>0</v>
      </c>
      <c r="R13" s="608">
        <v>0</v>
      </c>
      <c r="S13" s="282">
        <f t="shared" si="0"/>
        <v>10065525.914000001</v>
      </c>
    </row>
    <row r="14" spans="1:19" s="162" customFormat="1">
      <c r="A14" s="122">
        <v>7</v>
      </c>
      <c r="B14" s="177" t="s">
        <v>73</v>
      </c>
      <c r="C14" s="607">
        <v>0</v>
      </c>
      <c r="D14" s="607">
        <v>0</v>
      </c>
      <c r="E14" s="607">
        <v>0</v>
      </c>
      <c r="F14" s="607">
        <v>0</v>
      </c>
      <c r="G14" s="607">
        <v>0</v>
      </c>
      <c r="H14" s="607">
        <v>0</v>
      </c>
      <c r="I14" s="607">
        <v>0</v>
      </c>
      <c r="J14" s="607">
        <v>0</v>
      </c>
      <c r="K14" s="607">
        <v>0</v>
      </c>
      <c r="L14" s="607">
        <v>0</v>
      </c>
      <c r="M14" s="607">
        <v>483891756.22999769</v>
      </c>
      <c r="N14" s="607">
        <v>32315468.983999994</v>
      </c>
      <c r="O14" s="607">
        <v>0</v>
      </c>
      <c r="P14" s="607">
        <v>0</v>
      </c>
      <c r="Q14" s="607">
        <v>0</v>
      </c>
      <c r="R14" s="608">
        <v>0</v>
      </c>
      <c r="S14" s="282">
        <f t="shared" si="0"/>
        <v>516207225.21399766</v>
      </c>
    </row>
    <row r="15" spans="1:19" s="162" customFormat="1">
      <c r="A15" s="122">
        <v>8</v>
      </c>
      <c r="B15" s="177" t="s">
        <v>74</v>
      </c>
      <c r="C15" s="607">
        <v>0</v>
      </c>
      <c r="D15" s="607">
        <v>0</v>
      </c>
      <c r="E15" s="607">
        <v>0</v>
      </c>
      <c r="F15" s="607">
        <v>0</v>
      </c>
      <c r="G15" s="607">
        <v>0</v>
      </c>
      <c r="H15" s="607">
        <v>0</v>
      </c>
      <c r="I15" s="607">
        <v>0</v>
      </c>
      <c r="J15" s="607">
        <v>0</v>
      </c>
      <c r="K15" s="607">
        <v>275776498.91999996</v>
      </c>
      <c r="L15" s="607">
        <v>6325173.1279999949</v>
      </c>
      <c r="M15" s="607">
        <v>0</v>
      </c>
      <c r="N15" s="607">
        <v>0</v>
      </c>
      <c r="O15" s="607">
        <v>0</v>
      </c>
      <c r="P15" s="607">
        <v>0</v>
      </c>
      <c r="Q15" s="607">
        <v>0</v>
      </c>
      <c r="R15" s="608">
        <v>0</v>
      </c>
      <c r="S15" s="282">
        <f t="shared" si="0"/>
        <v>211576254.03599998</v>
      </c>
    </row>
    <row r="16" spans="1:19" s="162" customFormat="1">
      <c r="A16" s="122">
        <v>9</v>
      </c>
      <c r="B16" s="177" t="s">
        <v>75</v>
      </c>
      <c r="C16" s="607">
        <v>0</v>
      </c>
      <c r="D16" s="607">
        <v>0</v>
      </c>
      <c r="E16" s="607">
        <v>0</v>
      </c>
      <c r="F16" s="607">
        <v>0</v>
      </c>
      <c r="G16" s="607">
        <v>120685364.31999989</v>
      </c>
      <c r="H16" s="607">
        <v>773879.58</v>
      </c>
      <c r="I16" s="607">
        <v>0</v>
      </c>
      <c r="J16" s="607">
        <v>0</v>
      </c>
      <c r="K16" s="607">
        <v>0</v>
      </c>
      <c r="L16" s="607">
        <v>0</v>
      </c>
      <c r="M16" s="607">
        <v>0</v>
      </c>
      <c r="N16" s="607">
        <v>0</v>
      </c>
      <c r="O16" s="607">
        <v>0</v>
      </c>
      <c r="P16" s="607">
        <v>0</v>
      </c>
      <c r="Q16" s="607">
        <v>0</v>
      </c>
      <c r="R16" s="608">
        <v>0</v>
      </c>
      <c r="S16" s="282">
        <f t="shared" si="0"/>
        <v>42510735.364999957</v>
      </c>
    </row>
    <row r="17" spans="1:19" s="162" customFormat="1">
      <c r="A17" s="122">
        <v>10</v>
      </c>
      <c r="B17" s="177" t="s">
        <v>69</v>
      </c>
      <c r="C17" s="607">
        <v>0</v>
      </c>
      <c r="D17" s="607">
        <v>0</v>
      </c>
      <c r="E17" s="607">
        <v>0</v>
      </c>
      <c r="F17" s="607">
        <v>0</v>
      </c>
      <c r="G17" s="607">
        <v>0</v>
      </c>
      <c r="H17" s="607">
        <v>0</v>
      </c>
      <c r="I17" s="607">
        <v>2403735.9000000008</v>
      </c>
      <c r="J17" s="607">
        <v>0</v>
      </c>
      <c r="K17" s="607">
        <v>0</v>
      </c>
      <c r="L17" s="607">
        <v>0</v>
      </c>
      <c r="M17" s="607">
        <v>6306674.0699999928</v>
      </c>
      <c r="N17" s="607">
        <v>0</v>
      </c>
      <c r="O17" s="607">
        <v>31.45</v>
      </c>
      <c r="P17" s="607">
        <v>0</v>
      </c>
      <c r="Q17" s="607">
        <v>0</v>
      </c>
      <c r="R17" s="608">
        <v>0</v>
      </c>
      <c r="S17" s="282">
        <f t="shared" si="0"/>
        <v>7508589.1949999928</v>
      </c>
    </row>
    <row r="18" spans="1:19" s="162" customFormat="1">
      <c r="A18" s="122">
        <v>11</v>
      </c>
      <c r="B18" s="177" t="s">
        <v>70</v>
      </c>
      <c r="C18" s="607">
        <v>0</v>
      </c>
      <c r="D18" s="607">
        <v>0</v>
      </c>
      <c r="E18" s="607">
        <v>0</v>
      </c>
      <c r="F18" s="607">
        <v>0</v>
      </c>
      <c r="G18" s="607">
        <v>0</v>
      </c>
      <c r="H18" s="607">
        <v>0</v>
      </c>
      <c r="I18" s="607">
        <v>0</v>
      </c>
      <c r="J18" s="607">
        <v>0</v>
      </c>
      <c r="K18" s="607">
        <v>0</v>
      </c>
      <c r="L18" s="607">
        <v>0</v>
      </c>
      <c r="M18" s="607">
        <v>35820709.729999945</v>
      </c>
      <c r="N18" s="607">
        <v>0</v>
      </c>
      <c r="O18" s="607">
        <v>5610390.0799999647</v>
      </c>
      <c r="P18" s="607">
        <v>0</v>
      </c>
      <c r="Q18" s="607">
        <v>0</v>
      </c>
      <c r="R18" s="608">
        <v>0</v>
      </c>
      <c r="S18" s="282">
        <f t="shared" si="0"/>
        <v>44236294.84999989</v>
      </c>
    </row>
    <row r="19" spans="1:19" s="162" customFormat="1">
      <c r="A19" s="122">
        <v>12</v>
      </c>
      <c r="B19" s="177" t="s">
        <v>71</v>
      </c>
      <c r="C19" s="607">
        <v>0</v>
      </c>
      <c r="D19" s="607">
        <v>0</v>
      </c>
      <c r="E19" s="607">
        <v>0</v>
      </c>
      <c r="F19" s="607">
        <v>0</v>
      </c>
      <c r="G19" s="607">
        <v>0</v>
      </c>
      <c r="H19" s="607">
        <v>0</v>
      </c>
      <c r="I19" s="607">
        <v>0</v>
      </c>
      <c r="J19" s="607">
        <v>0</v>
      </c>
      <c r="K19" s="607">
        <v>0</v>
      </c>
      <c r="L19" s="607">
        <v>0</v>
      </c>
      <c r="M19" s="607">
        <v>0</v>
      </c>
      <c r="N19" s="607">
        <v>0</v>
      </c>
      <c r="O19" s="607">
        <v>0</v>
      </c>
      <c r="P19" s="607">
        <v>0</v>
      </c>
      <c r="Q19" s="607">
        <v>0</v>
      </c>
      <c r="R19" s="608">
        <v>0</v>
      </c>
      <c r="S19" s="282">
        <f t="shared" si="0"/>
        <v>0</v>
      </c>
    </row>
    <row r="20" spans="1:19" s="162" customFormat="1">
      <c r="A20" s="122">
        <v>13</v>
      </c>
      <c r="B20" s="177" t="s">
        <v>72</v>
      </c>
      <c r="C20" s="607">
        <v>0</v>
      </c>
      <c r="D20" s="607">
        <v>0</v>
      </c>
      <c r="E20" s="607">
        <v>0</v>
      </c>
      <c r="F20" s="607">
        <v>0</v>
      </c>
      <c r="G20" s="607">
        <v>0</v>
      </c>
      <c r="H20" s="607">
        <v>0</v>
      </c>
      <c r="I20" s="607">
        <v>0</v>
      </c>
      <c r="J20" s="607">
        <v>0</v>
      </c>
      <c r="K20" s="607">
        <v>0</v>
      </c>
      <c r="L20" s="607">
        <v>0</v>
      </c>
      <c r="M20" s="607">
        <v>0</v>
      </c>
      <c r="N20" s="607">
        <v>0</v>
      </c>
      <c r="O20" s="607">
        <v>0</v>
      </c>
      <c r="P20" s="607">
        <v>0</v>
      </c>
      <c r="Q20" s="607">
        <v>0</v>
      </c>
      <c r="R20" s="608">
        <v>0</v>
      </c>
      <c r="S20" s="282">
        <f t="shared" si="0"/>
        <v>0</v>
      </c>
    </row>
    <row r="21" spans="1:19" s="162" customFormat="1">
      <c r="A21" s="122">
        <v>14</v>
      </c>
      <c r="B21" s="177" t="s">
        <v>249</v>
      </c>
      <c r="C21" s="607">
        <v>42672650.899999991</v>
      </c>
      <c r="D21" s="607">
        <v>0</v>
      </c>
      <c r="E21" s="607">
        <v>694321.70000000007</v>
      </c>
      <c r="F21" s="607">
        <v>0</v>
      </c>
      <c r="G21" s="607">
        <v>0</v>
      </c>
      <c r="H21" s="607">
        <v>0</v>
      </c>
      <c r="I21" s="607">
        <v>0</v>
      </c>
      <c r="J21" s="607">
        <v>0</v>
      </c>
      <c r="K21" s="607">
        <v>0</v>
      </c>
      <c r="L21" s="607">
        <v>0</v>
      </c>
      <c r="M21" s="607">
        <v>37018493.850000031</v>
      </c>
      <c r="N21" s="607">
        <v>0</v>
      </c>
      <c r="O21" s="607">
        <v>0</v>
      </c>
      <c r="P21" s="607">
        <v>0</v>
      </c>
      <c r="Q21" s="607">
        <v>0</v>
      </c>
      <c r="R21" s="608">
        <v>0</v>
      </c>
      <c r="S21" s="282">
        <f t="shared" si="0"/>
        <v>37157358.190000035</v>
      </c>
    </row>
    <row r="22" spans="1:19" ht="13.5" thickBot="1">
      <c r="A22" s="104"/>
      <c r="B22" s="164" t="s">
        <v>68</v>
      </c>
      <c r="C22" s="267">
        <f>SUM(C8:C21)</f>
        <v>184170510.56</v>
      </c>
      <c r="D22" s="267">
        <f t="shared" ref="D22:S22" si="1">SUM(D8:D21)</f>
        <v>0</v>
      </c>
      <c r="E22" s="267">
        <f t="shared" si="1"/>
        <v>11779690.82</v>
      </c>
      <c r="F22" s="267">
        <f t="shared" si="1"/>
        <v>0</v>
      </c>
      <c r="G22" s="267">
        <f t="shared" si="1"/>
        <v>120685364.31999989</v>
      </c>
      <c r="H22" s="267">
        <f t="shared" si="1"/>
        <v>773879.58</v>
      </c>
      <c r="I22" s="267">
        <f t="shared" si="1"/>
        <v>10904632.760000002</v>
      </c>
      <c r="J22" s="267">
        <f t="shared" si="1"/>
        <v>0</v>
      </c>
      <c r="K22" s="267">
        <f t="shared" si="1"/>
        <v>275776498.91999996</v>
      </c>
      <c r="L22" s="267">
        <f t="shared" si="1"/>
        <v>6325173.1279999949</v>
      </c>
      <c r="M22" s="267">
        <f t="shared" si="1"/>
        <v>718707839.96999764</v>
      </c>
      <c r="N22" s="267">
        <f t="shared" si="1"/>
        <v>32315468.983999994</v>
      </c>
      <c r="O22" s="267">
        <f t="shared" si="1"/>
        <v>5610421.5299999649</v>
      </c>
      <c r="P22" s="267">
        <f t="shared" si="1"/>
        <v>0</v>
      </c>
      <c r="Q22" s="267">
        <f t="shared" si="1"/>
        <v>0</v>
      </c>
      <c r="R22" s="267">
        <f t="shared" si="1"/>
        <v>0</v>
      </c>
      <c r="S22" s="609">
        <f t="shared" si="1"/>
        <v>1021334185.1939976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V7" sqref="C7:V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188</v>
      </c>
      <c r="B1" s="307" t="str">
        <f>Info!C2</f>
        <v>ს.ს. "ტერაბანკი"</v>
      </c>
    </row>
    <row r="2" spans="1:22">
      <c r="A2" s="2" t="s">
        <v>189</v>
      </c>
      <c r="B2" s="435">
        <f>'1. key ratios'!B2</f>
        <v>44377</v>
      </c>
    </row>
    <row r="4" spans="1:22" ht="27.75" thickBot="1">
      <c r="A4" s="2" t="s">
        <v>339</v>
      </c>
      <c r="B4" s="278" t="s">
        <v>361</v>
      </c>
      <c r="V4" s="203" t="s">
        <v>93</v>
      </c>
    </row>
    <row r="5" spans="1:22">
      <c r="A5" s="102"/>
      <c r="B5" s="103"/>
      <c r="C5" s="700" t="s">
        <v>198</v>
      </c>
      <c r="D5" s="701"/>
      <c r="E5" s="701"/>
      <c r="F5" s="701"/>
      <c r="G5" s="701"/>
      <c r="H5" s="701"/>
      <c r="I5" s="701"/>
      <c r="J5" s="701"/>
      <c r="K5" s="701"/>
      <c r="L5" s="702"/>
      <c r="M5" s="700" t="s">
        <v>199</v>
      </c>
      <c r="N5" s="701"/>
      <c r="O5" s="701"/>
      <c r="P5" s="701"/>
      <c r="Q5" s="701"/>
      <c r="R5" s="701"/>
      <c r="S5" s="702"/>
      <c r="T5" s="705" t="s">
        <v>359</v>
      </c>
      <c r="U5" s="705" t="s">
        <v>358</v>
      </c>
      <c r="V5" s="703" t="s">
        <v>200</v>
      </c>
    </row>
    <row r="6" spans="1:22" s="69" customFormat="1" ht="140.25">
      <c r="A6" s="120"/>
      <c r="B6" s="179"/>
      <c r="C6" s="100" t="s">
        <v>201</v>
      </c>
      <c r="D6" s="99" t="s">
        <v>202</v>
      </c>
      <c r="E6" s="96" t="s">
        <v>203</v>
      </c>
      <c r="F6" s="279" t="s">
        <v>353</v>
      </c>
      <c r="G6" s="99" t="s">
        <v>204</v>
      </c>
      <c r="H6" s="99" t="s">
        <v>205</v>
      </c>
      <c r="I6" s="99" t="s">
        <v>206</v>
      </c>
      <c r="J6" s="99" t="s">
        <v>248</v>
      </c>
      <c r="K6" s="99" t="s">
        <v>207</v>
      </c>
      <c r="L6" s="101" t="s">
        <v>208</v>
      </c>
      <c r="M6" s="100" t="s">
        <v>209</v>
      </c>
      <c r="N6" s="99" t="s">
        <v>210</v>
      </c>
      <c r="O6" s="99" t="s">
        <v>211</v>
      </c>
      <c r="P6" s="99" t="s">
        <v>212</v>
      </c>
      <c r="Q6" s="99" t="s">
        <v>213</v>
      </c>
      <c r="R6" s="99" t="s">
        <v>214</v>
      </c>
      <c r="S6" s="101" t="s">
        <v>215</v>
      </c>
      <c r="T6" s="706"/>
      <c r="U6" s="706"/>
      <c r="V6" s="704"/>
    </row>
    <row r="7" spans="1:22" s="162" customFormat="1">
      <c r="A7" s="163">
        <v>1</v>
      </c>
      <c r="B7" s="161" t="s">
        <v>216</v>
      </c>
      <c r="C7" s="610">
        <v>0</v>
      </c>
      <c r="D7" s="607">
        <v>0</v>
      </c>
      <c r="E7" s="607">
        <v>0</v>
      </c>
      <c r="F7" s="607">
        <v>0</v>
      </c>
      <c r="G7" s="607">
        <v>0</v>
      </c>
      <c r="H7" s="607">
        <v>0</v>
      </c>
      <c r="I7" s="607">
        <v>0</v>
      </c>
      <c r="J7" s="607">
        <v>0</v>
      </c>
      <c r="K7" s="607">
        <v>0</v>
      </c>
      <c r="L7" s="611">
        <v>0</v>
      </c>
      <c r="M7" s="610">
        <v>0</v>
      </c>
      <c r="N7" s="607">
        <v>0</v>
      </c>
      <c r="O7" s="607">
        <v>0</v>
      </c>
      <c r="P7" s="607">
        <v>0</v>
      </c>
      <c r="Q7" s="607">
        <v>0</v>
      </c>
      <c r="R7" s="607">
        <v>0</v>
      </c>
      <c r="S7" s="611">
        <v>0</v>
      </c>
      <c r="T7" s="612">
        <v>0</v>
      </c>
      <c r="U7" s="613">
        <v>0</v>
      </c>
      <c r="V7" s="614">
        <f>SUM(C7:S7)</f>
        <v>0</v>
      </c>
    </row>
    <row r="8" spans="1:22" s="162" customFormat="1">
      <c r="A8" s="163">
        <v>2</v>
      </c>
      <c r="B8" s="161" t="s">
        <v>217</v>
      </c>
      <c r="C8" s="610">
        <v>0</v>
      </c>
      <c r="D8" s="607">
        <v>0</v>
      </c>
      <c r="E8" s="607">
        <v>0</v>
      </c>
      <c r="F8" s="607">
        <v>0</v>
      </c>
      <c r="G8" s="607">
        <v>0</v>
      </c>
      <c r="H8" s="607">
        <v>0</v>
      </c>
      <c r="I8" s="607">
        <v>0</v>
      </c>
      <c r="J8" s="607">
        <v>0</v>
      </c>
      <c r="K8" s="607">
        <v>0</v>
      </c>
      <c r="L8" s="611">
        <v>0</v>
      </c>
      <c r="M8" s="610">
        <v>0</v>
      </c>
      <c r="N8" s="607">
        <v>0</v>
      </c>
      <c r="O8" s="607">
        <v>0</v>
      </c>
      <c r="P8" s="607">
        <v>0</v>
      </c>
      <c r="Q8" s="607">
        <v>0</v>
      </c>
      <c r="R8" s="607">
        <v>0</v>
      </c>
      <c r="S8" s="611">
        <v>0</v>
      </c>
      <c r="T8" s="613">
        <v>0</v>
      </c>
      <c r="U8" s="613">
        <v>0</v>
      </c>
      <c r="V8" s="614">
        <f t="shared" ref="V8:V20" si="0">SUM(C8:S8)</f>
        <v>0</v>
      </c>
    </row>
    <row r="9" spans="1:22" s="162" customFormat="1">
      <c r="A9" s="163">
        <v>3</v>
      </c>
      <c r="B9" s="161" t="s">
        <v>218</v>
      </c>
      <c r="C9" s="610">
        <v>0</v>
      </c>
      <c r="D9" s="607">
        <v>0</v>
      </c>
      <c r="E9" s="607">
        <v>0</v>
      </c>
      <c r="F9" s="607">
        <v>0</v>
      </c>
      <c r="G9" s="607">
        <v>0</v>
      </c>
      <c r="H9" s="607">
        <v>0</v>
      </c>
      <c r="I9" s="607">
        <v>0</v>
      </c>
      <c r="J9" s="607">
        <v>0</v>
      </c>
      <c r="K9" s="607">
        <v>0</v>
      </c>
      <c r="L9" s="611">
        <v>0</v>
      </c>
      <c r="M9" s="610">
        <v>0</v>
      </c>
      <c r="N9" s="607">
        <v>0</v>
      </c>
      <c r="O9" s="607">
        <v>0</v>
      </c>
      <c r="P9" s="607">
        <v>0</v>
      </c>
      <c r="Q9" s="607">
        <v>0</v>
      </c>
      <c r="R9" s="607">
        <v>0</v>
      </c>
      <c r="S9" s="611">
        <v>0</v>
      </c>
      <c r="T9" s="613">
        <v>0</v>
      </c>
      <c r="U9" s="613">
        <v>0</v>
      </c>
      <c r="V9" s="614">
        <f>SUM(C9:S9)</f>
        <v>0</v>
      </c>
    </row>
    <row r="10" spans="1:22" s="162" customFormat="1">
      <c r="A10" s="163">
        <v>4</v>
      </c>
      <c r="B10" s="161" t="s">
        <v>219</v>
      </c>
      <c r="C10" s="610">
        <v>0</v>
      </c>
      <c r="D10" s="607">
        <v>0</v>
      </c>
      <c r="E10" s="607">
        <v>0</v>
      </c>
      <c r="F10" s="607">
        <v>0</v>
      </c>
      <c r="G10" s="607">
        <v>0</v>
      </c>
      <c r="H10" s="607">
        <v>0</v>
      </c>
      <c r="I10" s="607">
        <v>0</v>
      </c>
      <c r="J10" s="607">
        <v>0</v>
      </c>
      <c r="K10" s="607">
        <v>0</v>
      </c>
      <c r="L10" s="611">
        <v>0</v>
      </c>
      <c r="M10" s="610">
        <v>0</v>
      </c>
      <c r="N10" s="607">
        <v>0</v>
      </c>
      <c r="O10" s="607">
        <v>0</v>
      </c>
      <c r="P10" s="607">
        <v>0</v>
      </c>
      <c r="Q10" s="607">
        <v>0</v>
      </c>
      <c r="R10" s="607">
        <v>0</v>
      </c>
      <c r="S10" s="611">
        <v>0</v>
      </c>
      <c r="T10" s="613">
        <v>0</v>
      </c>
      <c r="U10" s="613">
        <v>0</v>
      </c>
      <c r="V10" s="614">
        <f t="shared" si="0"/>
        <v>0</v>
      </c>
    </row>
    <row r="11" spans="1:22" s="162" customFormat="1">
      <c r="A11" s="163">
        <v>5</v>
      </c>
      <c r="B11" s="161" t="s">
        <v>220</v>
      </c>
      <c r="C11" s="610">
        <v>0</v>
      </c>
      <c r="D11" s="607">
        <v>0</v>
      </c>
      <c r="E11" s="607">
        <v>0</v>
      </c>
      <c r="F11" s="607">
        <v>0</v>
      </c>
      <c r="G11" s="607">
        <v>0</v>
      </c>
      <c r="H11" s="607">
        <v>0</v>
      </c>
      <c r="I11" s="607">
        <v>0</v>
      </c>
      <c r="J11" s="607">
        <v>0</v>
      </c>
      <c r="K11" s="607">
        <v>0</v>
      </c>
      <c r="L11" s="611">
        <v>0</v>
      </c>
      <c r="M11" s="610">
        <v>0</v>
      </c>
      <c r="N11" s="607">
        <v>0</v>
      </c>
      <c r="O11" s="607">
        <v>0</v>
      </c>
      <c r="P11" s="607">
        <v>0</v>
      </c>
      <c r="Q11" s="607">
        <v>0</v>
      </c>
      <c r="R11" s="607">
        <v>0</v>
      </c>
      <c r="S11" s="611">
        <v>0</v>
      </c>
      <c r="T11" s="613">
        <v>0</v>
      </c>
      <c r="U11" s="613">
        <v>0</v>
      </c>
      <c r="V11" s="614">
        <f t="shared" si="0"/>
        <v>0</v>
      </c>
    </row>
    <row r="12" spans="1:22" s="162" customFormat="1">
      <c r="A12" s="163">
        <v>6</v>
      </c>
      <c r="B12" s="161" t="s">
        <v>221</v>
      </c>
      <c r="C12" s="610">
        <v>0</v>
      </c>
      <c r="D12" s="607">
        <v>0</v>
      </c>
      <c r="E12" s="607">
        <v>0</v>
      </c>
      <c r="F12" s="607">
        <v>0</v>
      </c>
      <c r="G12" s="607">
        <v>0</v>
      </c>
      <c r="H12" s="607">
        <v>0</v>
      </c>
      <c r="I12" s="607">
        <v>0</v>
      </c>
      <c r="J12" s="607">
        <v>0</v>
      </c>
      <c r="K12" s="607">
        <v>0</v>
      </c>
      <c r="L12" s="611">
        <v>0</v>
      </c>
      <c r="M12" s="610">
        <v>0</v>
      </c>
      <c r="N12" s="607">
        <v>0</v>
      </c>
      <c r="O12" s="607">
        <v>0</v>
      </c>
      <c r="P12" s="607">
        <v>0</v>
      </c>
      <c r="Q12" s="607">
        <v>0</v>
      </c>
      <c r="R12" s="607">
        <v>0</v>
      </c>
      <c r="S12" s="611">
        <v>0</v>
      </c>
      <c r="T12" s="613">
        <v>0</v>
      </c>
      <c r="U12" s="613">
        <v>0</v>
      </c>
      <c r="V12" s="614">
        <f t="shared" si="0"/>
        <v>0</v>
      </c>
    </row>
    <row r="13" spans="1:22" s="162" customFormat="1">
      <c r="A13" s="163">
        <v>7</v>
      </c>
      <c r="B13" s="161" t="s">
        <v>73</v>
      </c>
      <c r="C13" s="610">
        <v>0</v>
      </c>
      <c r="D13" s="607">
        <v>37791314.295000002</v>
      </c>
      <c r="E13" s="607">
        <v>0</v>
      </c>
      <c r="F13" s="607">
        <v>0</v>
      </c>
      <c r="G13" s="607">
        <v>0</v>
      </c>
      <c r="H13" s="607">
        <v>0</v>
      </c>
      <c r="I13" s="607">
        <v>0</v>
      </c>
      <c r="J13" s="607">
        <v>0</v>
      </c>
      <c r="K13" s="607">
        <v>0</v>
      </c>
      <c r="L13" s="611">
        <v>0</v>
      </c>
      <c r="M13" s="610">
        <v>0</v>
      </c>
      <c r="N13" s="607">
        <v>0</v>
      </c>
      <c r="O13" s="607">
        <v>0</v>
      </c>
      <c r="P13" s="607">
        <v>0</v>
      </c>
      <c r="Q13" s="607">
        <v>0</v>
      </c>
      <c r="R13" s="607">
        <v>0</v>
      </c>
      <c r="S13" s="611">
        <v>0</v>
      </c>
      <c r="T13" s="613">
        <v>25297501.230000004</v>
      </c>
      <c r="U13" s="613">
        <v>12493813.065000001</v>
      </c>
      <c r="V13" s="614">
        <f t="shared" si="0"/>
        <v>37791314.295000002</v>
      </c>
    </row>
    <row r="14" spans="1:22" s="162" customFormat="1">
      <c r="A14" s="163">
        <v>8</v>
      </c>
      <c r="B14" s="161" t="s">
        <v>74</v>
      </c>
      <c r="C14" s="610">
        <v>0</v>
      </c>
      <c r="D14" s="607">
        <v>3385415.4247500002</v>
      </c>
      <c r="E14" s="607">
        <v>0</v>
      </c>
      <c r="F14" s="607">
        <v>0</v>
      </c>
      <c r="G14" s="607">
        <v>0</v>
      </c>
      <c r="H14" s="607">
        <v>0</v>
      </c>
      <c r="I14" s="607">
        <v>0</v>
      </c>
      <c r="J14" s="607">
        <v>0</v>
      </c>
      <c r="K14" s="607">
        <v>0</v>
      </c>
      <c r="L14" s="611">
        <v>0</v>
      </c>
      <c r="M14" s="610">
        <v>0</v>
      </c>
      <c r="N14" s="607">
        <v>0</v>
      </c>
      <c r="O14" s="607">
        <v>0</v>
      </c>
      <c r="P14" s="607">
        <v>0</v>
      </c>
      <c r="Q14" s="607">
        <v>0</v>
      </c>
      <c r="R14" s="607">
        <v>0</v>
      </c>
      <c r="S14" s="611">
        <v>0</v>
      </c>
      <c r="T14" s="613">
        <v>2887176.6675</v>
      </c>
      <c r="U14" s="613">
        <v>498238.75725000002</v>
      </c>
      <c r="V14" s="614">
        <f t="shared" si="0"/>
        <v>3385415.4247500002</v>
      </c>
    </row>
    <row r="15" spans="1:22" s="162" customFormat="1">
      <c r="A15" s="163">
        <v>9</v>
      </c>
      <c r="B15" s="161" t="s">
        <v>75</v>
      </c>
      <c r="C15" s="610">
        <v>0</v>
      </c>
      <c r="D15" s="607">
        <v>0</v>
      </c>
      <c r="E15" s="607">
        <v>0</v>
      </c>
      <c r="F15" s="607">
        <v>0</v>
      </c>
      <c r="G15" s="607">
        <v>0</v>
      </c>
      <c r="H15" s="607">
        <v>0</v>
      </c>
      <c r="I15" s="607">
        <v>0</v>
      </c>
      <c r="J15" s="607">
        <v>0</v>
      </c>
      <c r="K15" s="607">
        <v>0</v>
      </c>
      <c r="L15" s="611">
        <v>0</v>
      </c>
      <c r="M15" s="610">
        <v>0</v>
      </c>
      <c r="N15" s="607">
        <v>0</v>
      </c>
      <c r="O15" s="607">
        <v>0</v>
      </c>
      <c r="P15" s="607">
        <v>0</v>
      </c>
      <c r="Q15" s="607">
        <v>0</v>
      </c>
      <c r="R15" s="607">
        <v>0</v>
      </c>
      <c r="S15" s="611">
        <v>0</v>
      </c>
      <c r="T15" s="613">
        <v>0</v>
      </c>
      <c r="U15" s="613">
        <v>0</v>
      </c>
      <c r="V15" s="614">
        <f t="shared" si="0"/>
        <v>0</v>
      </c>
    </row>
    <row r="16" spans="1:22" s="162" customFormat="1">
      <c r="A16" s="163">
        <v>10</v>
      </c>
      <c r="B16" s="161" t="s">
        <v>69</v>
      </c>
      <c r="C16" s="610">
        <v>0</v>
      </c>
      <c r="D16" s="607">
        <v>0.33</v>
      </c>
      <c r="E16" s="607">
        <v>0</v>
      </c>
      <c r="F16" s="607">
        <v>0</v>
      </c>
      <c r="G16" s="607">
        <v>0</v>
      </c>
      <c r="H16" s="607">
        <v>0</v>
      </c>
      <c r="I16" s="607">
        <v>0</v>
      </c>
      <c r="J16" s="607">
        <v>0</v>
      </c>
      <c r="K16" s="607">
        <v>0</v>
      </c>
      <c r="L16" s="611">
        <v>0</v>
      </c>
      <c r="M16" s="610">
        <v>0</v>
      </c>
      <c r="N16" s="607">
        <v>0</v>
      </c>
      <c r="O16" s="607">
        <v>0</v>
      </c>
      <c r="P16" s="607">
        <v>0</v>
      </c>
      <c r="Q16" s="607">
        <v>0</v>
      </c>
      <c r="R16" s="607">
        <v>0</v>
      </c>
      <c r="S16" s="611">
        <v>0</v>
      </c>
      <c r="T16" s="613">
        <v>0.33</v>
      </c>
      <c r="U16" s="613">
        <v>0</v>
      </c>
      <c r="V16" s="614">
        <f t="shared" si="0"/>
        <v>0.33</v>
      </c>
    </row>
    <row r="17" spans="1:22" s="162" customFormat="1">
      <c r="A17" s="163">
        <v>11</v>
      </c>
      <c r="B17" s="161" t="s">
        <v>70</v>
      </c>
      <c r="C17" s="610">
        <v>0</v>
      </c>
      <c r="D17" s="607">
        <v>52561.009999999995</v>
      </c>
      <c r="E17" s="607">
        <v>0</v>
      </c>
      <c r="F17" s="607">
        <v>0</v>
      </c>
      <c r="G17" s="607">
        <v>0</v>
      </c>
      <c r="H17" s="607">
        <v>0</v>
      </c>
      <c r="I17" s="607">
        <v>0</v>
      </c>
      <c r="J17" s="607">
        <v>0</v>
      </c>
      <c r="K17" s="607">
        <v>0</v>
      </c>
      <c r="L17" s="611">
        <v>0</v>
      </c>
      <c r="M17" s="610">
        <v>0</v>
      </c>
      <c r="N17" s="607">
        <v>0</v>
      </c>
      <c r="O17" s="607">
        <v>0</v>
      </c>
      <c r="P17" s="607">
        <v>0</v>
      </c>
      <c r="Q17" s="607">
        <v>0</v>
      </c>
      <c r="R17" s="607">
        <v>0</v>
      </c>
      <c r="S17" s="611">
        <v>0</v>
      </c>
      <c r="T17" s="613">
        <v>52561.009999999995</v>
      </c>
      <c r="U17" s="613">
        <v>0</v>
      </c>
      <c r="V17" s="614">
        <f t="shared" si="0"/>
        <v>52561.009999999995</v>
      </c>
    </row>
    <row r="18" spans="1:22" s="162" customFormat="1">
      <c r="A18" s="163">
        <v>12</v>
      </c>
      <c r="B18" s="161" t="s">
        <v>71</v>
      </c>
      <c r="C18" s="610">
        <v>0</v>
      </c>
      <c r="D18" s="607">
        <v>0</v>
      </c>
      <c r="E18" s="607">
        <v>0</v>
      </c>
      <c r="F18" s="607">
        <v>0</v>
      </c>
      <c r="G18" s="607">
        <v>0</v>
      </c>
      <c r="H18" s="607">
        <v>0</v>
      </c>
      <c r="I18" s="607">
        <v>0</v>
      </c>
      <c r="J18" s="607">
        <v>0</v>
      </c>
      <c r="K18" s="607">
        <v>0</v>
      </c>
      <c r="L18" s="611">
        <v>0</v>
      </c>
      <c r="M18" s="610">
        <v>0</v>
      </c>
      <c r="N18" s="607">
        <v>0</v>
      </c>
      <c r="O18" s="607">
        <v>0</v>
      </c>
      <c r="P18" s="607">
        <v>0</v>
      </c>
      <c r="Q18" s="607">
        <v>0</v>
      </c>
      <c r="R18" s="607">
        <v>0</v>
      </c>
      <c r="S18" s="611">
        <v>0</v>
      </c>
      <c r="T18" s="613">
        <v>0</v>
      </c>
      <c r="U18" s="613">
        <v>0</v>
      </c>
      <c r="V18" s="614">
        <f t="shared" si="0"/>
        <v>0</v>
      </c>
    </row>
    <row r="19" spans="1:22" s="162" customFormat="1">
      <c r="A19" s="163">
        <v>13</v>
      </c>
      <c r="B19" s="161" t="s">
        <v>72</v>
      </c>
      <c r="C19" s="610">
        <v>0</v>
      </c>
      <c r="D19" s="607">
        <v>0</v>
      </c>
      <c r="E19" s="607">
        <v>0</v>
      </c>
      <c r="F19" s="607">
        <v>0</v>
      </c>
      <c r="G19" s="607">
        <v>0</v>
      </c>
      <c r="H19" s="607">
        <v>0</v>
      </c>
      <c r="I19" s="607">
        <v>0</v>
      </c>
      <c r="J19" s="607">
        <v>0</v>
      </c>
      <c r="K19" s="607">
        <v>0</v>
      </c>
      <c r="L19" s="611">
        <v>0</v>
      </c>
      <c r="M19" s="610">
        <v>0</v>
      </c>
      <c r="N19" s="607">
        <v>0</v>
      </c>
      <c r="O19" s="607">
        <v>0</v>
      </c>
      <c r="P19" s="607">
        <v>0</v>
      </c>
      <c r="Q19" s="607">
        <v>0</v>
      </c>
      <c r="R19" s="607">
        <v>0</v>
      </c>
      <c r="S19" s="611">
        <v>0</v>
      </c>
      <c r="T19" s="613">
        <v>0</v>
      </c>
      <c r="U19" s="613">
        <v>0</v>
      </c>
      <c r="V19" s="614">
        <f t="shared" si="0"/>
        <v>0</v>
      </c>
    </row>
    <row r="20" spans="1:22" s="162" customFormat="1">
      <c r="A20" s="163">
        <v>14</v>
      </c>
      <c r="B20" s="161" t="s">
        <v>249</v>
      </c>
      <c r="C20" s="610">
        <v>0</v>
      </c>
      <c r="D20" s="607">
        <v>0</v>
      </c>
      <c r="E20" s="607">
        <v>0</v>
      </c>
      <c r="F20" s="607">
        <v>0</v>
      </c>
      <c r="G20" s="607">
        <v>0</v>
      </c>
      <c r="H20" s="607">
        <v>0</v>
      </c>
      <c r="I20" s="607">
        <v>0</v>
      </c>
      <c r="J20" s="607">
        <v>0</v>
      </c>
      <c r="K20" s="607">
        <v>0</v>
      </c>
      <c r="L20" s="611">
        <v>0</v>
      </c>
      <c r="M20" s="610">
        <v>0</v>
      </c>
      <c r="N20" s="607">
        <v>0</v>
      </c>
      <c r="O20" s="607">
        <v>0</v>
      </c>
      <c r="P20" s="607">
        <v>0</v>
      </c>
      <c r="Q20" s="607">
        <v>0</v>
      </c>
      <c r="R20" s="607">
        <v>0</v>
      </c>
      <c r="S20" s="611">
        <v>0</v>
      </c>
      <c r="T20" s="613">
        <v>0</v>
      </c>
      <c r="U20" s="613">
        <v>0</v>
      </c>
      <c r="V20" s="614">
        <f t="shared" si="0"/>
        <v>0</v>
      </c>
    </row>
    <row r="21" spans="1:22" ht="13.5" thickBot="1">
      <c r="A21" s="104"/>
      <c r="B21" s="105" t="s">
        <v>68</v>
      </c>
      <c r="C21" s="615">
        <f>SUM(C7:C20)</f>
        <v>0</v>
      </c>
      <c r="D21" s="616">
        <f t="shared" ref="D21:V21" si="1">SUM(D7:D20)</f>
        <v>41229291.059749998</v>
      </c>
      <c r="E21" s="616">
        <f t="shared" si="1"/>
        <v>0</v>
      </c>
      <c r="F21" s="616">
        <f t="shared" si="1"/>
        <v>0</v>
      </c>
      <c r="G21" s="616">
        <f t="shared" si="1"/>
        <v>0</v>
      </c>
      <c r="H21" s="616">
        <f t="shared" si="1"/>
        <v>0</v>
      </c>
      <c r="I21" s="616">
        <f t="shared" si="1"/>
        <v>0</v>
      </c>
      <c r="J21" s="616">
        <f t="shared" si="1"/>
        <v>0</v>
      </c>
      <c r="K21" s="616">
        <f t="shared" si="1"/>
        <v>0</v>
      </c>
      <c r="L21" s="609">
        <f t="shared" si="1"/>
        <v>0</v>
      </c>
      <c r="M21" s="615">
        <f t="shared" si="1"/>
        <v>0</v>
      </c>
      <c r="N21" s="616">
        <f t="shared" si="1"/>
        <v>0</v>
      </c>
      <c r="O21" s="616">
        <f t="shared" si="1"/>
        <v>0</v>
      </c>
      <c r="P21" s="616">
        <f t="shared" si="1"/>
        <v>0</v>
      </c>
      <c r="Q21" s="616">
        <f t="shared" si="1"/>
        <v>0</v>
      </c>
      <c r="R21" s="616">
        <f t="shared" si="1"/>
        <v>0</v>
      </c>
      <c r="S21" s="609">
        <f t="shared" si="1"/>
        <v>0</v>
      </c>
      <c r="T21" s="609">
        <f>SUM(T7:T20)</f>
        <v>28237239.237500004</v>
      </c>
      <c r="U21" s="609">
        <f t="shared" si="1"/>
        <v>12992051.822250001</v>
      </c>
      <c r="V21" s="617">
        <f t="shared" si="1"/>
        <v>41229291.059749998</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07" t="str">
        <f>Info!C2</f>
        <v>ს.ს. "ტერაბანკი"</v>
      </c>
    </row>
    <row r="2" spans="1:9">
      <c r="A2" s="2" t="s">
        <v>189</v>
      </c>
      <c r="B2" s="435">
        <f>'1. key ratios'!B2</f>
        <v>44377</v>
      </c>
    </row>
    <row r="4" spans="1:9" ht="13.5" thickBot="1">
      <c r="A4" s="2" t="s">
        <v>340</v>
      </c>
      <c r="B4" s="275" t="s">
        <v>362</v>
      </c>
    </row>
    <row r="5" spans="1:9">
      <c r="A5" s="102"/>
      <c r="B5" s="159"/>
      <c r="C5" s="165" t="s">
        <v>0</v>
      </c>
      <c r="D5" s="165" t="s">
        <v>1</v>
      </c>
      <c r="E5" s="165" t="s">
        <v>2</v>
      </c>
      <c r="F5" s="165" t="s">
        <v>3</v>
      </c>
      <c r="G5" s="273" t="s">
        <v>4</v>
      </c>
      <c r="H5" s="166" t="s">
        <v>5</v>
      </c>
      <c r="I5" s="25"/>
    </row>
    <row r="6" spans="1:9" ht="15" customHeight="1">
      <c r="A6" s="158"/>
      <c r="B6" s="23"/>
      <c r="C6" s="707" t="s">
        <v>354</v>
      </c>
      <c r="D6" s="711" t="s">
        <v>364</v>
      </c>
      <c r="E6" s="712"/>
      <c r="F6" s="707" t="s">
        <v>365</v>
      </c>
      <c r="G6" s="707" t="s">
        <v>366</v>
      </c>
      <c r="H6" s="709" t="s">
        <v>356</v>
      </c>
      <c r="I6" s="25"/>
    </row>
    <row r="7" spans="1:9" ht="76.5">
      <c r="A7" s="158"/>
      <c r="B7" s="23"/>
      <c r="C7" s="708"/>
      <c r="D7" s="274" t="s">
        <v>357</v>
      </c>
      <c r="E7" s="274" t="s">
        <v>355</v>
      </c>
      <c r="F7" s="708"/>
      <c r="G7" s="708"/>
      <c r="H7" s="710"/>
      <c r="I7" s="25"/>
    </row>
    <row r="8" spans="1:9">
      <c r="A8" s="93">
        <v>1</v>
      </c>
      <c r="B8" s="75" t="s">
        <v>216</v>
      </c>
      <c r="C8" s="618">
        <v>293570062.09000003</v>
      </c>
      <c r="D8" s="619">
        <v>0</v>
      </c>
      <c r="E8" s="618">
        <v>0</v>
      </c>
      <c r="F8" s="618">
        <v>152072202.43000001</v>
      </c>
      <c r="G8" s="620">
        <v>152072202.43000001</v>
      </c>
      <c r="H8" s="280">
        <f>G8/(C8+E8)</f>
        <v>0.51800991336568614</v>
      </c>
    </row>
    <row r="9" spans="1:9" ht="15" customHeight="1">
      <c r="A9" s="93">
        <v>2</v>
      </c>
      <c r="B9" s="75" t="s">
        <v>217</v>
      </c>
      <c r="C9" s="618">
        <v>0</v>
      </c>
      <c r="D9" s="619">
        <v>0</v>
      </c>
      <c r="E9" s="618">
        <v>0</v>
      </c>
      <c r="F9" s="618">
        <v>0</v>
      </c>
      <c r="G9" s="620">
        <v>0</v>
      </c>
      <c r="H9" s="280"/>
    </row>
    <row r="10" spans="1:9">
      <c r="A10" s="93">
        <v>3</v>
      </c>
      <c r="B10" s="75" t="s">
        <v>218</v>
      </c>
      <c r="C10" s="618">
        <v>0</v>
      </c>
      <c r="D10" s="619">
        <v>0</v>
      </c>
      <c r="E10" s="618">
        <v>0</v>
      </c>
      <c r="F10" s="618">
        <v>0</v>
      </c>
      <c r="G10" s="620">
        <v>0</v>
      </c>
      <c r="H10" s="280"/>
    </row>
    <row r="11" spans="1:9">
      <c r="A11" s="93">
        <v>4</v>
      </c>
      <c r="B11" s="75" t="s">
        <v>219</v>
      </c>
      <c r="C11" s="618">
        <v>0</v>
      </c>
      <c r="D11" s="619">
        <v>0</v>
      </c>
      <c r="E11" s="618">
        <v>0</v>
      </c>
      <c r="F11" s="618">
        <v>0</v>
      </c>
      <c r="G11" s="620">
        <v>0</v>
      </c>
      <c r="H11" s="280"/>
    </row>
    <row r="12" spans="1:9">
      <c r="A12" s="93">
        <v>5</v>
      </c>
      <c r="B12" s="75" t="s">
        <v>220</v>
      </c>
      <c r="C12" s="618">
        <v>0</v>
      </c>
      <c r="D12" s="619">
        <v>0</v>
      </c>
      <c r="E12" s="618">
        <v>0</v>
      </c>
      <c r="F12" s="618">
        <v>0</v>
      </c>
      <c r="G12" s="620">
        <v>0</v>
      </c>
      <c r="H12" s="280"/>
    </row>
    <row r="13" spans="1:9">
      <c r="A13" s="93">
        <v>6</v>
      </c>
      <c r="B13" s="75" t="s">
        <v>221</v>
      </c>
      <c r="C13" s="618">
        <v>23184269.640000004</v>
      </c>
      <c r="D13" s="619">
        <v>0</v>
      </c>
      <c r="E13" s="618">
        <v>0</v>
      </c>
      <c r="F13" s="618">
        <v>10065525.914000001</v>
      </c>
      <c r="G13" s="620">
        <v>10065525.914000001</v>
      </c>
      <c r="H13" s="280">
        <f t="shared" ref="H13:H21" si="0">G13/(C13+E13)</f>
        <v>0.43415324572631214</v>
      </c>
    </row>
    <row r="14" spans="1:9">
      <c r="A14" s="93">
        <v>7</v>
      </c>
      <c r="B14" s="75" t="s">
        <v>73</v>
      </c>
      <c r="C14" s="618">
        <v>483891756.22999769</v>
      </c>
      <c r="D14" s="619">
        <v>59548417.609999992</v>
      </c>
      <c r="E14" s="618">
        <v>32315468.983999994</v>
      </c>
      <c r="F14" s="619">
        <v>516207225.21399766</v>
      </c>
      <c r="G14" s="621">
        <v>478415910.91899765</v>
      </c>
      <c r="H14" s="280">
        <f>G14/(C14+E14)</f>
        <v>0.926790419720814</v>
      </c>
    </row>
    <row r="15" spans="1:9">
      <c r="A15" s="93">
        <v>8</v>
      </c>
      <c r="B15" s="75" t="s">
        <v>74</v>
      </c>
      <c r="C15" s="618">
        <v>275776498.91999996</v>
      </c>
      <c r="D15" s="619">
        <v>13664999.500000004</v>
      </c>
      <c r="E15" s="618">
        <v>6325173.1279999949</v>
      </c>
      <c r="F15" s="619">
        <v>211576254.03599998</v>
      </c>
      <c r="G15" s="621">
        <v>208190838.61124998</v>
      </c>
      <c r="H15" s="280">
        <f t="shared" si="0"/>
        <v>0.73799930748310505</v>
      </c>
    </row>
    <row r="16" spans="1:9">
      <c r="A16" s="93">
        <v>9</v>
      </c>
      <c r="B16" s="75" t="s">
        <v>75</v>
      </c>
      <c r="C16" s="618">
        <v>120685364.31999989</v>
      </c>
      <c r="D16" s="619">
        <v>1210001.24</v>
      </c>
      <c r="E16" s="618">
        <v>773879.58</v>
      </c>
      <c r="F16" s="619">
        <v>42510735.364999957</v>
      </c>
      <c r="G16" s="621">
        <v>42510735.364999957</v>
      </c>
      <c r="H16" s="280">
        <f t="shared" si="0"/>
        <v>0.35</v>
      </c>
    </row>
    <row r="17" spans="1:8">
      <c r="A17" s="93">
        <v>10</v>
      </c>
      <c r="B17" s="75" t="s">
        <v>69</v>
      </c>
      <c r="C17" s="618">
        <v>8710441.4199999925</v>
      </c>
      <c r="D17" s="619">
        <v>0</v>
      </c>
      <c r="E17" s="618">
        <v>0</v>
      </c>
      <c r="F17" s="619">
        <v>7508589.1949999928</v>
      </c>
      <c r="G17" s="621">
        <v>7508588.8649999928</v>
      </c>
      <c r="H17" s="280">
        <f t="shared" si="0"/>
        <v>0.86202162473184962</v>
      </c>
    </row>
    <row r="18" spans="1:8">
      <c r="A18" s="93">
        <v>11</v>
      </c>
      <c r="B18" s="75" t="s">
        <v>70</v>
      </c>
      <c r="C18" s="618">
        <v>41431099.809999913</v>
      </c>
      <c r="D18" s="619">
        <v>0</v>
      </c>
      <c r="E18" s="618">
        <v>0</v>
      </c>
      <c r="F18" s="619">
        <v>44236294.84999989</v>
      </c>
      <c r="G18" s="621">
        <v>44183733.839999892</v>
      </c>
      <c r="H18" s="280">
        <f t="shared" si="0"/>
        <v>1.0664388356240448</v>
      </c>
    </row>
    <row r="19" spans="1:8">
      <c r="A19" s="93">
        <v>12</v>
      </c>
      <c r="B19" s="75" t="s">
        <v>71</v>
      </c>
      <c r="C19" s="618">
        <v>0</v>
      </c>
      <c r="D19" s="619">
        <v>0</v>
      </c>
      <c r="E19" s="618">
        <v>0</v>
      </c>
      <c r="F19" s="619">
        <v>0</v>
      </c>
      <c r="G19" s="621">
        <v>0</v>
      </c>
      <c r="H19" s="280"/>
    </row>
    <row r="20" spans="1:8">
      <c r="A20" s="93">
        <v>13</v>
      </c>
      <c r="B20" s="75" t="s">
        <v>72</v>
      </c>
      <c r="C20" s="618">
        <v>0</v>
      </c>
      <c r="D20" s="619">
        <v>0</v>
      </c>
      <c r="E20" s="618">
        <v>0</v>
      </c>
      <c r="F20" s="619">
        <v>0</v>
      </c>
      <c r="G20" s="621">
        <v>0</v>
      </c>
      <c r="H20" s="280"/>
    </row>
    <row r="21" spans="1:8">
      <c r="A21" s="93">
        <v>14</v>
      </c>
      <c r="B21" s="75" t="s">
        <v>249</v>
      </c>
      <c r="C21" s="618">
        <v>80385466.450000033</v>
      </c>
      <c r="D21" s="619">
        <v>0</v>
      </c>
      <c r="E21" s="618">
        <v>0</v>
      </c>
      <c r="F21" s="619">
        <v>37157358.190000035</v>
      </c>
      <c r="G21" s="621">
        <v>37157358.190000035</v>
      </c>
      <c r="H21" s="280">
        <f t="shared" si="0"/>
        <v>0.46223975341502815</v>
      </c>
    </row>
    <row r="22" spans="1:8" ht="13.5" thickBot="1">
      <c r="A22" s="160"/>
      <c r="B22" s="167" t="s">
        <v>68</v>
      </c>
      <c r="C22" s="616">
        <f>SUM(C8:C21)</f>
        <v>1327634958.8799977</v>
      </c>
      <c r="D22" s="267">
        <f>SUM(D8:D21)</f>
        <v>74423418.349999994</v>
      </c>
      <c r="E22" s="267">
        <f>SUM(E8:E21)</f>
        <v>39414521.691999987</v>
      </c>
      <c r="F22" s="267">
        <f>SUM(F8:F21)</f>
        <v>1021334185.1939976</v>
      </c>
      <c r="G22" s="267">
        <f>SUM(G8:G21)</f>
        <v>980104894.13424754</v>
      </c>
      <c r="H22" s="281">
        <f>G22/(C22+E22)</f>
        <v>0.71694909954843355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307" bestFit="1" customWidth="1"/>
    <col min="2" max="2" width="104.140625" style="307" customWidth="1"/>
    <col min="3" max="4" width="12.7109375" style="307" customWidth="1"/>
    <col min="5" max="5" width="13.5703125" style="307" bestFit="1" customWidth="1"/>
    <col min="6" max="11" width="12.7109375" style="307" customWidth="1"/>
    <col min="12" max="16384" width="9.140625" style="307"/>
  </cols>
  <sheetData>
    <row r="1" spans="1:11">
      <c r="A1" s="307" t="s">
        <v>188</v>
      </c>
      <c r="B1" s="307" t="str">
        <f>Info!C2</f>
        <v>ს.ს. "ტერაბანკი"</v>
      </c>
    </row>
    <row r="2" spans="1:11">
      <c r="A2" s="307" t="s">
        <v>189</v>
      </c>
      <c r="B2" s="435">
        <f>'1. key ratios'!B2</f>
        <v>44377</v>
      </c>
      <c r="C2" s="308"/>
      <c r="D2" s="308"/>
    </row>
    <row r="3" spans="1:11">
      <c r="B3" s="308"/>
      <c r="C3" s="308"/>
      <c r="D3" s="308"/>
    </row>
    <row r="4" spans="1:11" ht="13.5" thickBot="1">
      <c r="A4" s="307" t="s">
        <v>395</v>
      </c>
      <c r="B4" s="275" t="s">
        <v>394</v>
      </c>
      <c r="C4" s="308"/>
      <c r="D4" s="308"/>
    </row>
    <row r="5" spans="1:11" ht="30" customHeight="1">
      <c r="A5" s="716"/>
      <c r="B5" s="717"/>
      <c r="C5" s="714" t="s">
        <v>426</v>
      </c>
      <c r="D5" s="714"/>
      <c r="E5" s="714"/>
      <c r="F5" s="714" t="s">
        <v>427</v>
      </c>
      <c r="G5" s="714"/>
      <c r="H5" s="714"/>
      <c r="I5" s="714" t="s">
        <v>428</v>
      </c>
      <c r="J5" s="714"/>
      <c r="K5" s="715"/>
    </row>
    <row r="6" spans="1:11">
      <c r="A6" s="305"/>
      <c r="B6" s="306"/>
      <c r="C6" s="309" t="s">
        <v>27</v>
      </c>
      <c r="D6" s="309" t="s">
        <v>96</v>
      </c>
      <c r="E6" s="309" t="s">
        <v>68</v>
      </c>
      <c r="F6" s="309" t="s">
        <v>27</v>
      </c>
      <c r="G6" s="309" t="s">
        <v>96</v>
      </c>
      <c r="H6" s="309" t="s">
        <v>68</v>
      </c>
      <c r="I6" s="309" t="s">
        <v>27</v>
      </c>
      <c r="J6" s="309" t="s">
        <v>96</v>
      </c>
      <c r="K6" s="310" t="s">
        <v>68</v>
      </c>
    </row>
    <row r="7" spans="1:11">
      <c r="A7" s="311" t="s">
        <v>374</v>
      </c>
      <c r="B7" s="304"/>
      <c r="C7" s="304"/>
      <c r="D7" s="304"/>
      <c r="E7" s="304"/>
      <c r="F7" s="304"/>
      <c r="G7" s="304"/>
      <c r="H7" s="304"/>
      <c r="I7" s="304"/>
      <c r="J7" s="304"/>
      <c r="K7" s="312"/>
    </row>
    <row r="8" spans="1:11">
      <c r="A8" s="303">
        <v>1</v>
      </c>
      <c r="B8" s="288" t="s">
        <v>374</v>
      </c>
      <c r="C8" s="631"/>
      <c r="D8" s="631"/>
      <c r="E8" s="631"/>
      <c r="F8" s="632">
        <v>75789312.282644406</v>
      </c>
      <c r="G8" s="632">
        <v>222546946.45223668</v>
      </c>
      <c r="H8" s="632">
        <v>298336258.7348811</v>
      </c>
      <c r="I8" s="632">
        <v>72526317.113755524</v>
      </c>
      <c r="J8" s="632">
        <v>188200788.09294334</v>
      </c>
      <c r="K8" s="633">
        <v>260727105.20669886</v>
      </c>
    </row>
    <row r="9" spans="1:11">
      <c r="A9" s="311" t="s">
        <v>375</v>
      </c>
      <c r="B9" s="304"/>
      <c r="C9" s="634"/>
      <c r="D9" s="634"/>
      <c r="E9" s="634"/>
      <c r="F9" s="634"/>
      <c r="G9" s="634"/>
      <c r="H9" s="634"/>
      <c r="I9" s="634"/>
      <c r="J9" s="634"/>
      <c r="K9" s="635"/>
    </row>
    <row r="10" spans="1:11">
      <c r="A10" s="313">
        <v>2</v>
      </c>
      <c r="B10" s="289" t="s">
        <v>376</v>
      </c>
      <c r="C10" s="463">
        <v>92950971.350955248</v>
      </c>
      <c r="D10" s="626">
        <v>339926714.0155046</v>
      </c>
      <c r="E10" s="626">
        <v>432877685.36645985</v>
      </c>
      <c r="F10" s="626">
        <v>16115028.895004373</v>
      </c>
      <c r="G10" s="626">
        <v>62546524.991599254</v>
      </c>
      <c r="H10" s="626">
        <v>78661553.886603624</v>
      </c>
      <c r="I10" s="626">
        <v>3825721.4163351632</v>
      </c>
      <c r="J10" s="626">
        <v>13437018.681207556</v>
      </c>
      <c r="K10" s="627">
        <v>17262740.097542718</v>
      </c>
    </row>
    <row r="11" spans="1:11">
      <c r="A11" s="313">
        <v>3</v>
      </c>
      <c r="B11" s="289" t="s">
        <v>377</v>
      </c>
      <c r="C11" s="463">
        <v>200095439.8488</v>
      </c>
      <c r="D11" s="626">
        <v>408392596.05254364</v>
      </c>
      <c r="E11" s="626">
        <v>608488035.90134358</v>
      </c>
      <c r="F11" s="626">
        <v>56986540.21022369</v>
      </c>
      <c r="G11" s="626">
        <v>117626571.99733692</v>
      </c>
      <c r="H11" s="626">
        <v>174613112.2075606</v>
      </c>
      <c r="I11" s="626">
        <v>47057167.638480671</v>
      </c>
      <c r="J11" s="626">
        <v>101183004.1584996</v>
      </c>
      <c r="K11" s="627">
        <v>148240171.79698026</v>
      </c>
    </row>
    <row r="12" spans="1:11">
      <c r="A12" s="313">
        <v>4</v>
      </c>
      <c r="B12" s="289" t="s">
        <v>378</v>
      </c>
      <c r="C12" s="463">
        <v>91490000</v>
      </c>
      <c r="D12" s="626">
        <v>0</v>
      </c>
      <c r="E12" s="626">
        <v>91490000</v>
      </c>
      <c r="F12" s="626">
        <v>0</v>
      </c>
      <c r="G12" s="626">
        <v>0</v>
      </c>
      <c r="H12" s="626">
        <v>0</v>
      </c>
      <c r="I12" s="626">
        <v>0</v>
      </c>
      <c r="J12" s="626">
        <v>0</v>
      </c>
      <c r="K12" s="627">
        <v>0</v>
      </c>
    </row>
    <row r="13" spans="1:11">
      <c r="A13" s="313">
        <v>5</v>
      </c>
      <c r="B13" s="289" t="s">
        <v>379</v>
      </c>
      <c r="C13" s="463">
        <v>42688936.153999999</v>
      </c>
      <c r="D13" s="626">
        <v>30110953.575753335</v>
      </c>
      <c r="E13" s="626">
        <v>72799889.72975333</v>
      </c>
      <c r="F13" s="626">
        <v>6430283.3369522225</v>
      </c>
      <c r="G13" s="626">
        <v>4429167.0300643994</v>
      </c>
      <c r="H13" s="626">
        <v>10859450.367016621</v>
      </c>
      <c r="I13" s="626">
        <v>2510147.6806277782</v>
      </c>
      <c r="J13" s="626">
        <v>1809532.3742960556</v>
      </c>
      <c r="K13" s="627">
        <v>4319680.0549238343</v>
      </c>
    </row>
    <row r="14" spans="1:11">
      <c r="A14" s="313">
        <v>6</v>
      </c>
      <c r="B14" s="289" t="s">
        <v>393</v>
      </c>
      <c r="C14" s="463">
        <v>4409776.4077777788</v>
      </c>
      <c r="D14" s="626">
        <v>10564733.567227777</v>
      </c>
      <c r="E14" s="626">
        <v>14974509.975005556</v>
      </c>
      <c r="F14" s="626">
        <v>0</v>
      </c>
      <c r="G14" s="626">
        <v>0</v>
      </c>
      <c r="H14" s="626">
        <v>0</v>
      </c>
      <c r="I14" s="626">
        <v>0</v>
      </c>
      <c r="J14" s="626">
        <v>0</v>
      </c>
      <c r="K14" s="627">
        <v>0</v>
      </c>
    </row>
    <row r="15" spans="1:11">
      <c r="A15" s="313">
        <v>7</v>
      </c>
      <c r="B15" s="289" t="s">
        <v>380</v>
      </c>
      <c r="C15" s="463">
        <v>6958756.6441111127</v>
      </c>
      <c r="D15" s="626">
        <v>5645366.9499288891</v>
      </c>
      <c r="E15" s="626">
        <v>12604123.594040003</v>
      </c>
      <c r="F15" s="626">
        <v>2568990.1746666674</v>
      </c>
      <c r="G15" s="626">
        <v>2222960.5997777781</v>
      </c>
      <c r="H15" s="626">
        <v>4791950.774444446</v>
      </c>
      <c r="I15" s="626">
        <v>2568990.1746666674</v>
      </c>
      <c r="J15" s="626">
        <v>2222960.5997777781</v>
      </c>
      <c r="K15" s="627">
        <v>4791950.774444446</v>
      </c>
    </row>
    <row r="16" spans="1:11">
      <c r="A16" s="313">
        <v>8</v>
      </c>
      <c r="B16" s="290" t="s">
        <v>381</v>
      </c>
      <c r="C16" s="463">
        <v>438593880.40564412</v>
      </c>
      <c r="D16" s="626">
        <v>794640364.16095817</v>
      </c>
      <c r="E16" s="626">
        <v>1233234244.5666022</v>
      </c>
      <c r="F16" s="626">
        <v>82100842.616846964</v>
      </c>
      <c r="G16" s="626">
        <v>186825224.61877838</v>
      </c>
      <c r="H16" s="626">
        <v>268926067.23562533</v>
      </c>
      <c r="I16" s="626">
        <v>55962026.91011028</v>
      </c>
      <c r="J16" s="626">
        <v>118652515.81378098</v>
      </c>
      <c r="K16" s="627">
        <v>174614542.72389126</v>
      </c>
    </row>
    <row r="17" spans="1:11">
      <c r="A17" s="311" t="s">
        <v>382</v>
      </c>
      <c r="B17" s="304"/>
      <c r="C17" s="304"/>
      <c r="D17" s="304"/>
      <c r="E17" s="304"/>
      <c r="F17" s="304"/>
      <c r="G17" s="304"/>
      <c r="H17" s="304"/>
      <c r="I17" s="304"/>
      <c r="J17" s="304"/>
      <c r="K17" s="312"/>
    </row>
    <row r="18" spans="1:11">
      <c r="A18" s="313">
        <v>9</v>
      </c>
      <c r="B18" s="289" t="s">
        <v>383</v>
      </c>
      <c r="C18" s="463">
        <v>0</v>
      </c>
      <c r="D18" s="626">
        <v>0</v>
      </c>
      <c r="E18" s="626">
        <v>0</v>
      </c>
      <c r="F18" s="626">
        <v>0</v>
      </c>
      <c r="G18" s="626">
        <v>0</v>
      </c>
      <c r="H18" s="626">
        <v>0</v>
      </c>
      <c r="I18" s="626">
        <v>0</v>
      </c>
      <c r="J18" s="626">
        <v>0</v>
      </c>
      <c r="K18" s="627">
        <v>0</v>
      </c>
    </row>
    <row r="19" spans="1:11">
      <c r="A19" s="313">
        <v>10</v>
      </c>
      <c r="B19" s="289" t="s">
        <v>384</v>
      </c>
      <c r="C19" s="463">
        <v>271842042.05066681</v>
      </c>
      <c r="D19" s="626">
        <v>471626502.34382331</v>
      </c>
      <c r="E19" s="626">
        <v>743468544.39449012</v>
      </c>
      <c r="F19" s="626">
        <v>17430637.820166666</v>
      </c>
      <c r="G19" s="626">
        <v>6571651.6375555564</v>
      </c>
      <c r="H19" s="626">
        <v>24002289.457722224</v>
      </c>
      <c r="I19" s="626">
        <v>20693632.989055555</v>
      </c>
      <c r="J19" s="626">
        <v>42853353.31448999</v>
      </c>
      <c r="K19" s="627">
        <v>63546986.30354555</v>
      </c>
    </row>
    <row r="20" spans="1:11">
      <c r="A20" s="313">
        <v>11</v>
      </c>
      <c r="B20" s="289" t="s">
        <v>385</v>
      </c>
      <c r="C20" s="463">
        <v>13389770.562799999</v>
      </c>
      <c r="D20" s="626">
        <v>2101727.4401433337</v>
      </c>
      <c r="E20" s="626">
        <v>15491498.002943333</v>
      </c>
      <c r="F20" s="626">
        <v>4520981.6082444442</v>
      </c>
      <c r="G20" s="626">
        <v>1417406.2284744445</v>
      </c>
      <c r="H20" s="626">
        <v>5938387.836718889</v>
      </c>
      <c r="I20" s="626">
        <v>4520981.6082444442</v>
      </c>
      <c r="J20" s="626">
        <v>1417406.2284744445</v>
      </c>
      <c r="K20" s="627">
        <v>5938387.836718889</v>
      </c>
    </row>
    <row r="21" spans="1:11" ht="13.5" thickBot="1">
      <c r="A21" s="222">
        <v>12</v>
      </c>
      <c r="B21" s="314" t="s">
        <v>386</v>
      </c>
      <c r="C21" s="628">
        <v>285231812.6134668</v>
      </c>
      <c r="D21" s="629">
        <v>473728229.78396666</v>
      </c>
      <c r="E21" s="628">
        <v>758960042.39743352</v>
      </c>
      <c r="F21" s="629">
        <v>21951619.428411111</v>
      </c>
      <c r="G21" s="629">
        <v>7989057.8660300011</v>
      </c>
      <c r="H21" s="629">
        <v>29940677.294441111</v>
      </c>
      <c r="I21" s="629">
        <v>25214614.5973</v>
      </c>
      <c r="J21" s="629">
        <v>44270759.542964436</v>
      </c>
      <c r="K21" s="630">
        <v>69485374.140264437</v>
      </c>
    </row>
    <row r="22" spans="1:11" ht="38.25" customHeight="1" thickBot="1">
      <c r="A22" s="301"/>
      <c r="B22" s="302"/>
      <c r="C22" s="302"/>
      <c r="D22" s="302"/>
      <c r="E22" s="302"/>
      <c r="F22" s="713" t="s">
        <v>387</v>
      </c>
      <c r="G22" s="714"/>
      <c r="H22" s="714"/>
      <c r="I22" s="713" t="s">
        <v>388</v>
      </c>
      <c r="J22" s="714"/>
      <c r="K22" s="715"/>
    </row>
    <row r="23" spans="1:11">
      <c r="A23" s="294">
        <v>13</v>
      </c>
      <c r="B23" s="291" t="s">
        <v>374</v>
      </c>
      <c r="C23" s="300"/>
      <c r="D23" s="300"/>
      <c r="E23" s="300"/>
      <c r="F23" s="622">
        <v>75789312.282644406</v>
      </c>
      <c r="G23" s="622">
        <v>222546946.45223668</v>
      </c>
      <c r="H23" s="622">
        <v>298336258.7348811</v>
      </c>
      <c r="I23" s="622">
        <v>72526317.113755524</v>
      </c>
      <c r="J23" s="622">
        <v>188200788.09294334</v>
      </c>
      <c r="K23" s="623">
        <v>260727105.20669886</v>
      </c>
    </row>
    <row r="24" spans="1:11" ht="13.5" thickBot="1">
      <c r="A24" s="295">
        <v>14</v>
      </c>
      <c r="B24" s="292" t="s">
        <v>389</v>
      </c>
      <c r="C24" s="315"/>
      <c r="D24" s="298"/>
      <c r="E24" s="299"/>
      <c r="F24" s="624">
        <v>60149223.188435853</v>
      </c>
      <c r="G24" s="624">
        <v>178836166.75274837</v>
      </c>
      <c r="H24" s="624">
        <v>238985389.94118422</v>
      </c>
      <c r="I24" s="624">
        <v>30747412.312810279</v>
      </c>
      <c r="J24" s="624">
        <v>74381756.270816535</v>
      </c>
      <c r="K24" s="625">
        <v>105129168.58362682</v>
      </c>
    </row>
    <row r="25" spans="1:11" ht="13.5" thickBot="1">
      <c r="A25" s="296">
        <v>15</v>
      </c>
      <c r="B25" s="293" t="s">
        <v>390</v>
      </c>
      <c r="C25" s="297"/>
      <c r="D25" s="297"/>
      <c r="E25" s="297"/>
      <c r="F25" s="636">
        <v>1.260021464370557</v>
      </c>
      <c r="G25" s="636">
        <v>1.2444180083546583</v>
      </c>
      <c r="H25" s="636">
        <v>1.2483451762817113</v>
      </c>
      <c r="I25" s="637">
        <v>2.3587779152243948</v>
      </c>
      <c r="J25" s="637">
        <v>2.5302009192647064</v>
      </c>
      <c r="K25" s="638">
        <v>2.4800643695693165</v>
      </c>
    </row>
    <row r="28" spans="1:11" ht="38.25">
      <c r="B28" s="24" t="s">
        <v>425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C7" sqref="C7:N21"/>
    </sheetView>
  </sheetViews>
  <sheetFormatPr defaultColWidth="9.140625" defaultRowHeight="15"/>
  <cols>
    <col min="1" max="1" width="10.5703125" style="70" bestFit="1" customWidth="1"/>
    <col min="2" max="2" width="95" style="70" customWidth="1"/>
    <col min="3" max="3" width="15.7109375" style="70" bestFit="1" customWidth="1"/>
    <col min="4" max="4" width="10" style="70" bestFit="1" customWidth="1"/>
    <col min="5" max="5" width="18.42578125" style="70" bestFit="1" customWidth="1"/>
    <col min="6" max="13" width="10.7109375" style="70" customWidth="1"/>
    <col min="14" max="14" width="31" style="70" bestFit="1" customWidth="1"/>
    <col min="15" max="16384" width="9.140625" style="13"/>
  </cols>
  <sheetData>
    <row r="1" spans="1:14">
      <c r="A1" s="5" t="s">
        <v>188</v>
      </c>
      <c r="B1" s="70" t="str">
        <f>Info!C2</f>
        <v>ს.ს. "ტერაბანკი"</v>
      </c>
    </row>
    <row r="2" spans="1:14" ht="14.25" customHeight="1">
      <c r="A2" s="70" t="s">
        <v>189</v>
      </c>
      <c r="B2" s="435">
        <f>'1. key ratios'!B2</f>
        <v>44377</v>
      </c>
    </row>
    <row r="3" spans="1:14" ht="14.25" customHeight="1"/>
    <row r="4" spans="1:14" ht="15.75" thickBot="1">
      <c r="A4" s="2" t="s">
        <v>341</v>
      </c>
      <c r="B4" s="95" t="s">
        <v>77</v>
      </c>
    </row>
    <row r="5" spans="1:14" s="26" customFormat="1" ht="12.75">
      <c r="A5" s="173"/>
      <c r="B5" s="174"/>
      <c r="C5" s="175" t="s">
        <v>0</v>
      </c>
      <c r="D5" s="175" t="s">
        <v>1</v>
      </c>
      <c r="E5" s="175" t="s">
        <v>2</v>
      </c>
      <c r="F5" s="175" t="s">
        <v>3</v>
      </c>
      <c r="G5" s="175" t="s">
        <v>4</v>
      </c>
      <c r="H5" s="175" t="s">
        <v>5</v>
      </c>
      <c r="I5" s="175" t="s">
        <v>238</v>
      </c>
      <c r="J5" s="175" t="s">
        <v>239</v>
      </c>
      <c r="K5" s="175" t="s">
        <v>240</v>
      </c>
      <c r="L5" s="175" t="s">
        <v>241</v>
      </c>
      <c r="M5" s="175" t="s">
        <v>242</v>
      </c>
      <c r="N5" s="176" t="s">
        <v>243</v>
      </c>
    </row>
    <row r="6" spans="1:14" ht="45">
      <c r="A6" s="168"/>
      <c r="B6" s="107"/>
      <c r="C6" s="108" t="s">
        <v>87</v>
      </c>
      <c r="D6" s="109" t="s">
        <v>76</v>
      </c>
      <c r="E6" s="110" t="s">
        <v>86</v>
      </c>
      <c r="F6" s="111">
        <v>0</v>
      </c>
      <c r="G6" s="111">
        <v>0.2</v>
      </c>
      <c r="H6" s="111">
        <v>0.35</v>
      </c>
      <c r="I6" s="111">
        <v>0.5</v>
      </c>
      <c r="J6" s="111">
        <v>0.75</v>
      </c>
      <c r="K6" s="111">
        <v>1</v>
      </c>
      <c r="L6" s="111">
        <v>1.5</v>
      </c>
      <c r="M6" s="111">
        <v>2.5</v>
      </c>
      <c r="N6" s="169" t="s">
        <v>77</v>
      </c>
    </row>
    <row r="7" spans="1:14">
      <c r="A7" s="170">
        <v>1</v>
      </c>
      <c r="B7" s="112" t="s">
        <v>78</v>
      </c>
      <c r="C7" s="268">
        <f>SUM(C8:C13)</f>
        <v>67039380.530000001</v>
      </c>
      <c r="D7" s="107"/>
      <c r="E7" s="640">
        <f t="shared" ref="E7:M7" si="0">SUM(E8:E13)</f>
        <v>1340787.6106</v>
      </c>
      <c r="F7" s="640">
        <f>SUM(F8:F13)</f>
        <v>0</v>
      </c>
      <c r="G7" s="640">
        <f t="shared" si="0"/>
        <v>0</v>
      </c>
      <c r="H7" s="640">
        <f t="shared" si="0"/>
        <v>0</v>
      </c>
      <c r="I7" s="640">
        <f t="shared" si="0"/>
        <v>0</v>
      </c>
      <c r="J7" s="640">
        <f t="shared" si="0"/>
        <v>0</v>
      </c>
      <c r="K7" s="640">
        <f t="shared" si="0"/>
        <v>1340787.6106</v>
      </c>
      <c r="L7" s="640">
        <f t="shared" si="0"/>
        <v>0</v>
      </c>
      <c r="M7" s="640">
        <f t="shared" si="0"/>
        <v>0</v>
      </c>
      <c r="N7" s="643">
        <f>SUM(N8:N13)</f>
        <v>1340787.6106</v>
      </c>
    </row>
    <row r="8" spans="1:14">
      <c r="A8" s="170">
        <v>1.1000000000000001</v>
      </c>
      <c r="B8" s="113" t="s">
        <v>79</v>
      </c>
      <c r="C8" s="269">
        <v>67039380.530000001</v>
      </c>
      <c r="D8" s="114">
        <v>0.02</v>
      </c>
      <c r="E8" s="640">
        <f>C8*D8</f>
        <v>1340787.6106</v>
      </c>
      <c r="F8" s="639">
        <v>0</v>
      </c>
      <c r="G8" s="639">
        <v>0</v>
      </c>
      <c r="H8" s="639">
        <v>0</v>
      </c>
      <c r="I8" s="639">
        <v>0</v>
      </c>
      <c r="J8" s="639">
        <v>0</v>
      </c>
      <c r="K8" s="639">
        <v>1340787.6106</v>
      </c>
      <c r="L8" s="639">
        <v>0</v>
      </c>
      <c r="M8" s="639">
        <v>0</v>
      </c>
      <c r="N8" s="643">
        <f>SUMPRODUCT($F$6:$M$6,F8:M8)</f>
        <v>1340787.6106</v>
      </c>
    </row>
    <row r="9" spans="1:14">
      <c r="A9" s="170">
        <v>1.2</v>
      </c>
      <c r="B9" s="113" t="s">
        <v>80</v>
      </c>
      <c r="C9" s="639">
        <v>0</v>
      </c>
      <c r="D9" s="114">
        <v>0.05</v>
      </c>
      <c r="E9" s="640">
        <f>C9*D9</f>
        <v>0</v>
      </c>
      <c r="F9" s="639">
        <v>0</v>
      </c>
      <c r="G9" s="639">
        <v>0</v>
      </c>
      <c r="H9" s="639">
        <v>0</v>
      </c>
      <c r="I9" s="639">
        <v>0</v>
      </c>
      <c r="J9" s="639">
        <v>0</v>
      </c>
      <c r="K9" s="639">
        <v>0</v>
      </c>
      <c r="L9" s="639">
        <v>0</v>
      </c>
      <c r="M9" s="639">
        <v>0</v>
      </c>
      <c r="N9" s="643">
        <f t="shared" ref="N9:N12" si="1">SUMPRODUCT($F$6:$M$6,F9:M9)</f>
        <v>0</v>
      </c>
    </row>
    <row r="10" spans="1:14">
      <c r="A10" s="170">
        <v>1.3</v>
      </c>
      <c r="B10" s="113" t="s">
        <v>81</v>
      </c>
      <c r="C10" s="639">
        <v>0</v>
      </c>
      <c r="D10" s="114">
        <v>0.08</v>
      </c>
      <c r="E10" s="640">
        <f>C10*D10</f>
        <v>0</v>
      </c>
      <c r="F10" s="639">
        <v>0</v>
      </c>
      <c r="G10" s="639">
        <v>0</v>
      </c>
      <c r="H10" s="639">
        <v>0</v>
      </c>
      <c r="I10" s="639">
        <v>0</v>
      </c>
      <c r="J10" s="639">
        <v>0</v>
      </c>
      <c r="K10" s="639">
        <v>0</v>
      </c>
      <c r="L10" s="639">
        <v>0</v>
      </c>
      <c r="M10" s="639">
        <v>0</v>
      </c>
      <c r="N10" s="643">
        <f>SUMPRODUCT($F$6:$M$6,F10:M10)</f>
        <v>0</v>
      </c>
    </row>
    <row r="11" spans="1:14">
      <c r="A11" s="170">
        <v>1.4</v>
      </c>
      <c r="B11" s="113" t="s">
        <v>82</v>
      </c>
      <c r="C11" s="639">
        <v>0</v>
      </c>
      <c r="D11" s="114">
        <v>0.11</v>
      </c>
      <c r="E11" s="640">
        <f>C11*D11</f>
        <v>0</v>
      </c>
      <c r="F11" s="639">
        <v>0</v>
      </c>
      <c r="G11" s="639">
        <v>0</v>
      </c>
      <c r="H11" s="639">
        <v>0</v>
      </c>
      <c r="I11" s="639">
        <v>0</v>
      </c>
      <c r="J11" s="639">
        <v>0</v>
      </c>
      <c r="K11" s="639">
        <v>0</v>
      </c>
      <c r="L11" s="639">
        <v>0</v>
      </c>
      <c r="M11" s="639">
        <v>0</v>
      </c>
      <c r="N11" s="643">
        <f t="shared" si="1"/>
        <v>0</v>
      </c>
    </row>
    <row r="12" spans="1:14">
      <c r="A12" s="170">
        <v>1.5</v>
      </c>
      <c r="B12" s="113" t="s">
        <v>83</v>
      </c>
      <c r="C12" s="639">
        <v>0</v>
      </c>
      <c r="D12" s="114">
        <v>0.14000000000000001</v>
      </c>
      <c r="E12" s="640">
        <f>C12*D12</f>
        <v>0</v>
      </c>
      <c r="F12" s="639">
        <v>0</v>
      </c>
      <c r="G12" s="639">
        <v>0</v>
      </c>
      <c r="H12" s="639">
        <v>0</v>
      </c>
      <c r="I12" s="639">
        <v>0</v>
      </c>
      <c r="J12" s="639">
        <v>0</v>
      </c>
      <c r="K12" s="639">
        <v>0</v>
      </c>
      <c r="L12" s="639">
        <v>0</v>
      </c>
      <c r="M12" s="639">
        <v>0</v>
      </c>
      <c r="N12" s="643">
        <f t="shared" si="1"/>
        <v>0</v>
      </c>
    </row>
    <row r="13" spans="1:14">
      <c r="A13" s="170">
        <v>1.6</v>
      </c>
      <c r="B13" s="115" t="s">
        <v>84</v>
      </c>
      <c r="C13" s="639">
        <v>0</v>
      </c>
      <c r="D13" s="116"/>
      <c r="E13" s="269"/>
      <c r="F13" s="639">
        <v>0</v>
      </c>
      <c r="G13" s="639">
        <v>0</v>
      </c>
      <c r="H13" s="639">
        <v>0</v>
      </c>
      <c r="I13" s="639">
        <v>0</v>
      </c>
      <c r="J13" s="639">
        <v>0</v>
      </c>
      <c r="K13" s="639">
        <v>0</v>
      </c>
      <c r="L13" s="639">
        <v>0</v>
      </c>
      <c r="M13" s="639">
        <v>0</v>
      </c>
      <c r="N13" s="643">
        <f>SUMPRODUCT($F$6:$M$6,F13:M13)</f>
        <v>0</v>
      </c>
    </row>
    <row r="14" spans="1:14">
      <c r="A14" s="170">
        <v>2</v>
      </c>
      <c r="B14" s="117" t="s">
        <v>85</v>
      </c>
      <c r="C14" s="640">
        <f>SUM(C15:C20)</f>
        <v>0</v>
      </c>
      <c r="D14" s="639"/>
      <c r="E14" s="640">
        <f t="shared" ref="E14:M14" si="2">SUM(E15:E20)</f>
        <v>0</v>
      </c>
      <c r="F14" s="639">
        <f t="shared" si="2"/>
        <v>0</v>
      </c>
      <c r="G14" s="639">
        <f t="shared" si="2"/>
        <v>0</v>
      </c>
      <c r="H14" s="639">
        <f t="shared" si="2"/>
        <v>0</v>
      </c>
      <c r="I14" s="639">
        <f t="shared" si="2"/>
        <v>0</v>
      </c>
      <c r="J14" s="639">
        <f t="shared" si="2"/>
        <v>0</v>
      </c>
      <c r="K14" s="639">
        <f t="shared" si="2"/>
        <v>0</v>
      </c>
      <c r="L14" s="639">
        <f t="shared" si="2"/>
        <v>0</v>
      </c>
      <c r="M14" s="639">
        <f t="shared" si="2"/>
        <v>0</v>
      </c>
      <c r="N14" s="643">
        <f>SUM(N15:N20)</f>
        <v>0</v>
      </c>
    </row>
    <row r="15" spans="1:14">
      <c r="A15" s="170">
        <v>2.1</v>
      </c>
      <c r="B15" s="115" t="s">
        <v>79</v>
      </c>
      <c r="C15" s="639">
        <v>0</v>
      </c>
      <c r="D15" s="114">
        <v>5.0000000000000001E-3</v>
      </c>
      <c r="E15" s="640">
        <f>C15*D15</f>
        <v>0</v>
      </c>
      <c r="F15" s="639">
        <v>0</v>
      </c>
      <c r="G15" s="639">
        <v>0</v>
      </c>
      <c r="H15" s="639">
        <v>0</v>
      </c>
      <c r="I15" s="639">
        <v>0</v>
      </c>
      <c r="J15" s="639">
        <v>0</v>
      </c>
      <c r="K15" s="639">
        <v>0</v>
      </c>
      <c r="L15" s="639">
        <v>0</v>
      </c>
      <c r="M15" s="639">
        <v>0</v>
      </c>
      <c r="N15" s="643">
        <f>SUMPRODUCT($F$6:$M$6,F15:M15)</f>
        <v>0</v>
      </c>
    </row>
    <row r="16" spans="1:14">
      <c r="A16" s="170">
        <v>2.2000000000000002</v>
      </c>
      <c r="B16" s="115" t="s">
        <v>80</v>
      </c>
      <c r="C16" s="639">
        <v>0</v>
      </c>
      <c r="D16" s="114">
        <v>0.01</v>
      </c>
      <c r="E16" s="640">
        <f>C16*D16</f>
        <v>0</v>
      </c>
      <c r="F16" s="639">
        <v>0</v>
      </c>
      <c r="G16" s="639">
        <v>0</v>
      </c>
      <c r="H16" s="639">
        <v>0</v>
      </c>
      <c r="I16" s="639">
        <v>0</v>
      </c>
      <c r="J16" s="639">
        <v>0</v>
      </c>
      <c r="K16" s="639">
        <v>0</v>
      </c>
      <c r="L16" s="639">
        <v>0</v>
      </c>
      <c r="M16" s="639">
        <v>0</v>
      </c>
      <c r="N16" s="643">
        <f t="shared" ref="N16:N20" si="3">SUMPRODUCT($F$6:$M$6,F16:M16)</f>
        <v>0</v>
      </c>
    </row>
    <row r="17" spans="1:14">
      <c r="A17" s="170">
        <v>2.2999999999999998</v>
      </c>
      <c r="B17" s="115" t="s">
        <v>81</v>
      </c>
      <c r="C17" s="639">
        <v>0</v>
      </c>
      <c r="D17" s="114">
        <v>0.02</v>
      </c>
      <c r="E17" s="640">
        <f>C17*D17</f>
        <v>0</v>
      </c>
      <c r="F17" s="639">
        <v>0</v>
      </c>
      <c r="G17" s="639">
        <v>0</v>
      </c>
      <c r="H17" s="639">
        <v>0</v>
      </c>
      <c r="I17" s="639">
        <v>0</v>
      </c>
      <c r="J17" s="639">
        <v>0</v>
      </c>
      <c r="K17" s="639">
        <v>0</v>
      </c>
      <c r="L17" s="639">
        <v>0</v>
      </c>
      <c r="M17" s="639">
        <v>0</v>
      </c>
      <c r="N17" s="643">
        <f t="shared" si="3"/>
        <v>0</v>
      </c>
    </row>
    <row r="18" spans="1:14">
      <c r="A18" s="170">
        <v>2.4</v>
      </c>
      <c r="B18" s="115" t="s">
        <v>82</v>
      </c>
      <c r="C18" s="639">
        <v>0</v>
      </c>
      <c r="D18" s="114">
        <v>0.03</v>
      </c>
      <c r="E18" s="640">
        <f>C18*D18</f>
        <v>0</v>
      </c>
      <c r="F18" s="639">
        <v>0</v>
      </c>
      <c r="G18" s="639">
        <v>0</v>
      </c>
      <c r="H18" s="639">
        <v>0</v>
      </c>
      <c r="I18" s="639">
        <v>0</v>
      </c>
      <c r="J18" s="639">
        <v>0</v>
      </c>
      <c r="K18" s="639">
        <v>0</v>
      </c>
      <c r="L18" s="639">
        <v>0</v>
      </c>
      <c r="M18" s="639">
        <v>0</v>
      </c>
      <c r="N18" s="643">
        <f t="shared" si="3"/>
        <v>0</v>
      </c>
    </row>
    <row r="19" spans="1:14">
      <c r="A19" s="170">
        <v>2.5</v>
      </c>
      <c r="B19" s="115" t="s">
        <v>83</v>
      </c>
      <c r="C19" s="639">
        <v>0</v>
      </c>
      <c r="D19" s="114">
        <v>0.04</v>
      </c>
      <c r="E19" s="640">
        <f>C19*D19</f>
        <v>0</v>
      </c>
      <c r="F19" s="639">
        <v>0</v>
      </c>
      <c r="G19" s="639">
        <v>0</v>
      </c>
      <c r="H19" s="639">
        <v>0</v>
      </c>
      <c r="I19" s="639">
        <v>0</v>
      </c>
      <c r="J19" s="639">
        <v>0</v>
      </c>
      <c r="K19" s="639">
        <v>0</v>
      </c>
      <c r="L19" s="639">
        <v>0</v>
      </c>
      <c r="M19" s="639">
        <v>0</v>
      </c>
      <c r="N19" s="643">
        <f t="shared" si="3"/>
        <v>0</v>
      </c>
    </row>
    <row r="20" spans="1:14">
      <c r="A20" s="170">
        <v>2.6</v>
      </c>
      <c r="B20" s="115" t="s">
        <v>84</v>
      </c>
      <c r="C20" s="639">
        <v>0</v>
      </c>
      <c r="D20" s="116"/>
      <c r="E20" s="270"/>
      <c r="F20" s="639">
        <v>0</v>
      </c>
      <c r="G20" s="639">
        <v>0</v>
      </c>
      <c r="H20" s="639">
        <v>0</v>
      </c>
      <c r="I20" s="639">
        <v>0</v>
      </c>
      <c r="J20" s="639">
        <v>0</v>
      </c>
      <c r="K20" s="639">
        <v>0</v>
      </c>
      <c r="L20" s="639">
        <v>0</v>
      </c>
      <c r="M20" s="639">
        <v>0</v>
      </c>
      <c r="N20" s="643">
        <f t="shared" si="3"/>
        <v>0</v>
      </c>
    </row>
    <row r="21" spans="1:14" ht="15.75" thickBot="1">
      <c r="A21" s="171">
        <v>3</v>
      </c>
      <c r="B21" s="172" t="s">
        <v>68</v>
      </c>
      <c r="C21" s="641">
        <f>C14+C7</f>
        <v>67039380.530000001</v>
      </c>
      <c r="D21" s="641"/>
      <c r="E21" s="641">
        <f>E14+E7</f>
        <v>1340787.6106</v>
      </c>
      <c r="F21" s="642">
        <f>F7+F14</f>
        <v>0</v>
      </c>
      <c r="G21" s="642">
        <f t="shared" ref="G21:L21" si="4">G7+G14</f>
        <v>0</v>
      </c>
      <c r="H21" s="642">
        <f t="shared" si="4"/>
        <v>0</v>
      </c>
      <c r="I21" s="642">
        <f t="shared" si="4"/>
        <v>0</v>
      </c>
      <c r="J21" s="642">
        <f t="shared" si="4"/>
        <v>0</v>
      </c>
      <c r="K21" s="642">
        <f t="shared" si="4"/>
        <v>1340787.6106</v>
      </c>
      <c r="L21" s="642">
        <f t="shared" si="4"/>
        <v>0</v>
      </c>
      <c r="M21" s="642">
        <f>M7+M14</f>
        <v>0</v>
      </c>
      <c r="N21" s="644">
        <f>N14+N7</f>
        <v>1340787.6106</v>
      </c>
    </row>
    <row r="22" spans="1:14">
      <c r="E22" s="271"/>
      <c r="F22" s="271"/>
      <c r="G22" s="271"/>
      <c r="H22" s="271"/>
      <c r="I22" s="271"/>
      <c r="J22" s="271"/>
      <c r="K22" s="271"/>
      <c r="L22" s="271"/>
      <c r="M22" s="271"/>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6" sqref="C6"/>
    </sheetView>
  </sheetViews>
  <sheetFormatPr defaultRowHeight="15"/>
  <cols>
    <col min="1" max="1" width="11.42578125" customWidth="1"/>
    <col min="2" max="2" width="76.85546875" style="4" customWidth="1"/>
    <col min="3" max="3" width="22.85546875" customWidth="1"/>
  </cols>
  <sheetData>
    <row r="1" spans="1:3">
      <c r="A1" s="307" t="s">
        <v>188</v>
      </c>
      <c r="B1" t="str">
        <f>Info!C2</f>
        <v>ს.ს. "ტერაბანკი"</v>
      </c>
    </row>
    <row r="2" spans="1:3">
      <c r="A2" s="307" t="s">
        <v>189</v>
      </c>
      <c r="B2" s="435">
        <f>'1. key ratios'!B2</f>
        <v>44377</v>
      </c>
    </row>
    <row r="3" spans="1:3">
      <c r="A3" s="307"/>
      <c r="B3"/>
    </row>
    <row r="4" spans="1:3">
      <c r="A4" s="307" t="s">
        <v>470</v>
      </c>
      <c r="B4" t="s">
        <v>429</v>
      </c>
    </row>
    <row r="5" spans="1:3">
      <c r="A5" s="367"/>
      <c r="B5" s="367" t="s">
        <v>430</v>
      </c>
      <c r="C5" s="379"/>
    </row>
    <row r="6" spans="1:3">
      <c r="A6" s="368">
        <v>1</v>
      </c>
      <c r="B6" s="380" t="s">
        <v>482</v>
      </c>
      <c r="C6" s="381">
        <v>1319178233.9499977</v>
      </c>
    </row>
    <row r="7" spans="1:3">
      <c r="A7" s="368">
        <v>2</v>
      </c>
      <c r="B7" s="380" t="s">
        <v>431</v>
      </c>
      <c r="C7" s="646">
        <v>-22987678.799999997</v>
      </c>
    </row>
    <row r="8" spans="1:3">
      <c r="A8" s="369">
        <v>3</v>
      </c>
      <c r="B8" s="382" t="s">
        <v>432</v>
      </c>
      <c r="C8" s="383">
        <f>C6+C7</f>
        <v>1296190555.1499977</v>
      </c>
    </row>
    <row r="9" spans="1:3">
      <c r="A9" s="370"/>
      <c r="B9" s="370" t="s">
        <v>433</v>
      </c>
      <c r="C9" s="384"/>
    </row>
    <row r="10" spans="1:3">
      <c r="A10" s="371">
        <v>4</v>
      </c>
      <c r="B10" s="385" t="s">
        <v>434</v>
      </c>
      <c r="C10" s="646">
        <v>0</v>
      </c>
    </row>
    <row r="11" spans="1:3">
      <c r="A11" s="371">
        <v>5</v>
      </c>
      <c r="B11" s="386" t="s">
        <v>435</v>
      </c>
      <c r="C11" s="646">
        <v>0</v>
      </c>
    </row>
    <row r="12" spans="1:3">
      <c r="A12" s="371" t="s">
        <v>436</v>
      </c>
      <c r="B12" s="380" t="s">
        <v>437</v>
      </c>
      <c r="C12" s="383">
        <f>'15. CCR'!E21</f>
        <v>1340787.6106</v>
      </c>
    </row>
    <row r="13" spans="1:3">
      <c r="A13" s="372">
        <v>6</v>
      </c>
      <c r="B13" s="387" t="s">
        <v>438</v>
      </c>
      <c r="C13" s="646">
        <v>0</v>
      </c>
    </row>
    <row r="14" spans="1:3">
      <c r="A14" s="372">
        <v>7</v>
      </c>
      <c r="B14" s="388" t="s">
        <v>439</v>
      </c>
      <c r="C14" s="646">
        <v>0</v>
      </c>
    </row>
    <row r="15" spans="1:3">
      <c r="A15" s="373">
        <v>8</v>
      </c>
      <c r="B15" s="380" t="s">
        <v>440</v>
      </c>
      <c r="C15" s="646">
        <v>0</v>
      </c>
    </row>
    <row r="16" spans="1:3" ht="24">
      <c r="A16" s="372">
        <v>9</v>
      </c>
      <c r="B16" s="388" t="s">
        <v>441</v>
      </c>
      <c r="C16" s="646">
        <v>0</v>
      </c>
    </row>
    <row r="17" spans="1:3">
      <c r="A17" s="372">
        <v>10</v>
      </c>
      <c r="B17" s="388" t="s">
        <v>442</v>
      </c>
      <c r="C17" s="646">
        <v>0</v>
      </c>
    </row>
    <row r="18" spans="1:3">
      <c r="A18" s="374">
        <v>11</v>
      </c>
      <c r="B18" s="389" t="s">
        <v>443</v>
      </c>
      <c r="C18" s="383">
        <f>SUM(C10:C17)</f>
        <v>1340787.6106</v>
      </c>
    </row>
    <row r="19" spans="1:3">
      <c r="A19" s="370"/>
      <c r="B19" s="370" t="s">
        <v>444</v>
      </c>
      <c r="C19" s="390"/>
    </row>
    <row r="20" spans="1:3">
      <c r="A20" s="372">
        <v>12</v>
      </c>
      <c r="B20" s="385" t="s">
        <v>445</v>
      </c>
      <c r="C20" s="646">
        <v>0</v>
      </c>
    </row>
    <row r="21" spans="1:3">
      <c r="A21" s="372">
        <v>13</v>
      </c>
      <c r="B21" s="385" t="s">
        <v>446</v>
      </c>
      <c r="C21" s="646">
        <v>0</v>
      </c>
    </row>
    <row r="22" spans="1:3">
      <c r="A22" s="372">
        <v>14</v>
      </c>
      <c r="B22" s="385" t="s">
        <v>447</v>
      </c>
      <c r="C22" s="646">
        <v>0</v>
      </c>
    </row>
    <row r="23" spans="1:3" ht="24">
      <c r="A23" s="372" t="s">
        <v>448</v>
      </c>
      <c r="B23" s="385" t="s">
        <v>449</v>
      </c>
      <c r="C23" s="646">
        <v>0</v>
      </c>
    </row>
    <row r="24" spans="1:3">
      <c r="A24" s="372">
        <v>15</v>
      </c>
      <c r="B24" s="385" t="s">
        <v>450</v>
      </c>
      <c r="C24" s="646">
        <v>0</v>
      </c>
    </row>
    <row r="25" spans="1:3">
      <c r="A25" s="372" t="s">
        <v>451</v>
      </c>
      <c r="B25" s="380" t="s">
        <v>452</v>
      </c>
      <c r="C25" s="646">
        <v>0</v>
      </c>
    </row>
    <row r="26" spans="1:3">
      <c r="A26" s="374">
        <v>16</v>
      </c>
      <c r="B26" s="389" t="s">
        <v>453</v>
      </c>
      <c r="C26" s="383">
        <f>SUM(C20:C25)</f>
        <v>0</v>
      </c>
    </row>
    <row r="27" spans="1:3">
      <c r="A27" s="370"/>
      <c r="B27" s="370" t="s">
        <v>454</v>
      </c>
      <c r="C27" s="384"/>
    </row>
    <row r="28" spans="1:3">
      <c r="A28" s="371">
        <v>17</v>
      </c>
      <c r="B28" s="380" t="s">
        <v>455</v>
      </c>
      <c r="C28" s="646">
        <v>74423418.350000009</v>
      </c>
    </row>
    <row r="29" spans="1:3">
      <c r="A29" s="371">
        <v>18</v>
      </c>
      <c r="B29" s="380" t="s">
        <v>456</v>
      </c>
      <c r="C29" s="646">
        <v>-35008896.658000067</v>
      </c>
    </row>
    <row r="30" spans="1:3">
      <c r="A30" s="374">
        <v>19</v>
      </c>
      <c r="B30" s="389" t="s">
        <v>457</v>
      </c>
      <c r="C30" s="383">
        <f>C28+C29</f>
        <v>39414521.691999942</v>
      </c>
    </row>
    <row r="31" spans="1:3">
      <c r="A31" s="375"/>
      <c r="B31" s="370" t="s">
        <v>458</v>
      </c>
      <c r="C31" s="384"/>
    </row>
    <row r="32" spans="1:3">
      <c r="A32" s="371" t="s">
        <v>459</v>
      </c>
      <c r="B32" s="385" t="s">
        <v>460</v>
      </c>
      <c r="C32" s="647">
        <v>0</v>
      </c>
    </row>
    <row r="33" spans="1:3">
      <c r="A33" s="371" t="s">
        <v>461</v>
      </c>
      <c r="B33" s="386" t="s">
        <v>462</v>
      </c>
      <c r="C33" s="647">
        <v>0</v>
      </c>
    </row>
    <row r="34" spans="1:3">
      <c r="A34" s="370"/>
      <c r="B34" s="370" t="s">
        <v>463</v>
      </c>
      <c r="C34" s="384"/>
    </row>
    <row r="35" spans="1:3">
      <c r="A35" s="374">
        <v>20</v>
      </c>
      <c r="B35" s="389" t="s">
        <v>89</v>
      </c>
      <c r="C35" s="383">
        <f>'1. key ratios'!C9</f>
        <v>117539309.89999998</v>
      </c>
    </row>
    <row r="36" spans="1:3">
      <c r="A36" s="374">
        <v>21</v>
      </c>
      <c r="B36" s="389" t="s">
        <v>464</v>
      </c>
      <c r="C36" s="383">
        <f>C8+C18+C26+C30</f>
        <v>1336945864.4525976</v>
      </c>
    </row>
    <row r="37" spans="1:3">
      <c r="A37" s="376"/>
      <c r="B37" s="376" t="s">
        <v>429</v>
      </c>
      <c r="C37" s="384"/>
    </row>
    <row r="38" spans="1:3">
      <c r="A38" s="374">
        <v>22</v>
      </c>
      <c r="B38" s="389" t="s">
        <v>429</v>
      </c>
      <c r="C38" s="648">
        <f>IFERROR(C35/C36,0)</f>
        <v>8.7916282196007653E-2</v>
      </c>
    </row>
    <row r="39" spans="1:3">
      <c r="A39" s="376"/>
      <c r="B39" s="376" t="s">
        <v>465</v>
      </c>
      <c r="C39" s="384"/>
    </row>
    <row r="40" spans="1:3">
      <c r="A40" s="377" t="s">
        <v>466</v>
      </c>
      <c r="B40" s="385" t="s">
        <v>467</v>
      </c>
      <c r="C40" s="647">
        <v>0</v>
      </c>
    </row>
    <row r="41" spans="1:3">
      <c r="A41" s="378" t="s">
        <v>468</v>
      </c>
      <c r="B41" s="386" t="s">
        <v>469</v>
      </c>
      <c r="C41" s="647">
        <v>0</v>
      </c>
    </row>
    <row r="43" spans="1:3">
      <c r="B43" s="399" t="s">
        <v>483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7" activePane="bottomRight" state="frozen"/>
      <selection pane="topRight" activeCell="C1" sqref="C1"/>
      <selection pane="bottomLeft" activeCell="A7" sqref="A7"/>
      <selection pane="bottomRight" activeCell="F1" sqref="F1"/>
    </sheetView>
  </sheetViews>
  <sheetFormatPr defaultRowHeight="15"/>
  <cols>
    <col min="1" max="1" width="9.85546875" style="307" bestFit="1" customWidth="1"/>
    <col min="2" max="2" width="82.5703125" style="24" customWidth="1"/>
    <col min="3" max="7" width="17.5703125" style="307" customWidth="1"/>
  </cols>
  <sheetData>
    <row r="1" spans="1:7">
      <c r="A1" s="307" t="s">
        <v>188</v>
      </c>
      <c r="B1" s="307" t="str">
        <f>Info!C2</f>
        <v>ს.ს. "ტერაბანკი"</v>
      </c>
    </row>
    <row r="2" spans="1:7">
      <c r="A2" s="307" t="s">
        <v>189</v>
      </c>
      <c r="B2" s="435">
        <f>'1. key ratios'!B2</f>
        <v>44377</v>
      </c>
    </row>
    <row r="3" spans="1:7">
      <c r="B3" s="435"/>
    </row>
    <row r="4" spans="1:7" ht="15.75" thickBot="1">
      <c r="A4" s="307" t="s">
        <v>532</v>
      </c>
      <c r="B4" s="437" t="s">
        <v>497</v>
      </c>
    </row>
    <row r="5" spans="1:7">
      <c r="A5" s="438"/>
      <c r="B5" s="439"/>
      <c r="C5" s="718" t="s">
        <v>498</v>
      </c>
      <c r="D5" s="718"/>
      <c r="E5" s="718"/>
      <c r="F5" s="718"/>
      <c r="G5" s="719" t="s">
        <v>499</v>
      </c>
    </row>
    <row r="6" spans="1:7">
      <c r="A6" s="440"/>
      <c r="B6" s="441"/>
      <c r="C6" s="442" t="s">
        <v>500</v>
      </c>
      <c r="D6" s="443" t="s">
        <v>501</v>
      </c>
      <c r="E6" s="443" t="s">
        <v>502</v>
      </c>
      <c r="F6" s="443" t="s">
        <v>503</v>
      </c>
      <c r="G6" s="720"/>
    </row>
    <row r="7" spans="1:7">
      <c r="A7" s="444"/>
      <c r="B7" s="445" t="s">
        <v>504</v>
      </c>
      <c r="C7" s="446"/>
      <c r="D7" s="446"/>
      <c r="E7" s="446"/>
      <c r="F7" s="446"/>
      <c r="G7" s="447"/>
    </row>
    <row r="8" spans="1:7">
      <c r="A8" s="448">
        <v>1</v>
      </c>
      <c r="B8" s="449" t="s">
        <v>505</v>
      </c>
      <c r="C8" s="450">
        <f>SUM(C9:C10)</f>
        <v>117539309.89999998</v>
      </c>
      <c r="D8" s="450">
        <f>SUM(D9:D10)</f>
        <v>0</v>
      </c>
      <c r="E8" s="450">
        <f>SUM(E9:E10)</f>
        <v>0</v>
      </c>
      <c r="F8" s="450">
        <f>SUM(F9:F10)</f>
        <v>229884977.96070001</v>
      </c>
      <c r="G8" s="451">
        <f>SUM(G9:G10)</f>
        <v>347424287.86070001</v>
      </c>
    </row>
    <row r="9" spans="1:7">
      <c r="A9" s="448">
        <v>2</v>
      </c>
      <c r="B9" s="452" t="s">
        <v>88</v>
      </c>
      <c r="C9" s="450">
        <v>117539309.89999998</v>
      </c>
      <c r="D9" s="450">
        <v>0</v>
      </c>
      <c r="E9" s="450">
        <v>0</v>
      </c>
      <c r="F9" s="450">
        <v>40645476.57</v>
      </c>
      <c r="G9" s="451">
        <v>158184786.46999997</v>
      </c>
    </row>
    <row r="10" spans="1:7">
      <c r="A10" s="448">
        <v>3</v>
      </c>
      <c r="B10" s="452" t="s">
        <v>506</v>
      </c>
      <c r="C10" s="453"/>
      <c r="D10" s="453"/>
      <c r="E10" s="453"/>
      <c r="F10" s="450">
        <v>189239501.39070001</v>
      </c>
      <c r="G10" s="451">
        <v>189239501.39070001</v>
      </c>
    </row>
    <row r="11" spans="1:7" ht="26.25">
      <c r="A11" s="448">
        <v>4</v>
      </c>
      <c r="B11" s="449" t="s">
        <v>507</v>
      </c>
      <c r="C11" s="450">
        <f t="shared" ref="C11:F11" si="0">SUM(C12:C13)</f>
        <v>173507639.92819989</v>
      </c>
      <c r="D11" s="450">
        <f t="shared" si="0"/>
        <v>135609551.82960001</v>
      </c>
      <c r="E11" s="450">
        <f t="shared" si="0"/>
        <v>72314586.795699999</v>
      </c>
      <c r="F11" s="450">
        <f t="shared" si="0"/>
        <v>10717322.640699999</v>
      </c>
      <c r="G11" s="451">
        <f>SUM(G12:G13)</f>
        <v>339963315.89013481</v>
      </c>
    </row>
    <row r="12" spans="1:7">
      <c r="A12" s="448">
        <v>5</v>
      </c>
      <c r="B12" s="452" t="s">
        <v>508</v>
      </c>
      <c r="C12" s="450">
        <v>135407083.43469989</v>
      </c>
      <c r="D12" s="454">
        <v>111748616.1824</v>
      </c>
      <c r="E12" s="450">
        <v>63763763.506899998</v>
      </c>
      <c r="F12" s="450">
        <v>8833348.6382999998</v>
      </c>
      <c r="G12" s="451">
        <v>303765171.17418486</v>
      </c>
    </row>
    <row r="13" spans="1:7">
      <c r="A13" s="448">
        <v>6</v>
      </c>
      <c r="B13" s="452" t="s">
        <v>509</v>
      </c>
      <c r="C13" s="450">
        <v>38100556.493499979</v>
      </c>
      <c r="D13" s="454">
        <v>23860935.647199996</v>
      </c>
      <c r="E13" s="450">
        <v>8550823.2887999993</v>
      </c>
      <c r="F13" s="450">
        <v>1883974.0024000001</v>
      </c>
      <c r="G13" s="451">
        <v>36198144.715949982</v>
      </c>
    </row>
    <row r="14" spans="1:7">
      <c r="A14" s="448">
        <v>7</v>
      </c>
      <c r="B14" s="449" t="s">
        <v>510</v>
      </c>
      <c r="C14" s="450">
        <f t="shared" ref="C14:F14" si="1">SUM(C15:C16)</f>
        <v>285262556.1128</v>
      </c>
      <c r="D14" s="450">
        <f t="shared" si="1"/>
        <v>179001480.36309999</v>
      </c>
      <c r="E14" s="450">
        <f t="shared" si="1"/>
        <v>73574247.066200003</v>
      </c>
      <c r="F14" s="450">
        <f t="shared" si="1"/>
        <v>227541.6</v>
      </c>
      <c r="G14" s="451">
        <f>SUM(G15:G16)</f>
        <v>175762335.93985003</v>
      </c>
    </row>
    <row r="15" spans="1:7" ht="51.75">
      <c r="A15" s="448">
        <v>8</v>
      </c>
      <c r="B15" s="452" t="s">
        <v>511</v>
      </c>
      <c r="C15" s="450">
        <v>246379099.6144</v>
      </c>
      <c r="D15" s="454">
        <v>31343783.599099997</v>
      </c>
      <c r="E15" s="450">
        <v>54031583.390500002</v>
      </c>
      <c r="F15" s="450">
        <v>227541.6</v>
      </c>
      <c r="G15" s="451">
        <v>165991004.10200003</v>
      </c>
    </row>
    <row r="16" spans="1:7" ht="26.25">
      <c r="A16" s="448">
        <v>9</v>
      </c>
      <c r="B16" s="452" t="s">
        <v>512</v>
      </c>
      <c r="C16" s="450">
        <v>38883456.498400003</v>
      </c>
      <c r="D16" s="454">
        <v>147657696.764</v>
      </c>
      <c r="E16" s="450">
        <v>19542663.675700001</v>
      </c>
      <c r="F16" s="450">
        <v>0</v>
      </c>
      <c r="G16" s="451">
        <v>9771331.8378500007</v>
      </c>
    </row>
    <row r="17" spans="1:7">
      <c r="A17" s="448">
        <v>10</v>
      </c>
      <c r="B17" s="449" t="s">
        <v>513</v>
      </c>
      <c r="C17" s="450">
        <v>0</v>
      </c>
      <c r="D17" s="454">
        <v>0</v>
      </c>
      <c r="E17" s="450">
        <v>0</v>
      </c>
      <c r="F17" s="450">
        <v>0</v>
      </c>
      <c r="G17" s="451">
        <v>0</v>
      </c>
    </row>
    <row r="18" spans="1:7">
      <c r="A18" s="448">
        <v>11</v>
      </c>
      <c r="B18" s="449" t="s">
        <v>95</v>
      </c>
      <c r="C18" s="450">
        <f>SUM(C19:C20)</f>
        <v>0</v>
      </c>
      <c r="D18" s="454">
        <f t="shared" ref="D18:G18" si="2">SUM(D19:D20)</f>
        <v>17739731.87890001</v>
      </c>
      <c r="E18" s="450">
        <f t="shared" si="2"/>
        <v>5211681.2699999996</v>
      </c>
      <c r="F18" s="450">
        <f t="shared" si="2"/>
        <v>10556362.821499994</v>
      </c>
      <c r="G18" s="451">
        <f t="shared" si="2"/>
        <v>0</v>
      </c>
    </row>
    <row r="19" spans="1:7">
      <c r="A19" s="448">
        <v>12</v>
      </c>
      <c r="B19" s="452" t="s">
        <v>514</v>
      </c>
      <c r="C19" s="453"/>
      <c r="D19" s="454">
        <v>49850.299999999814</v>
      </c>
      <c r="E19" s="450">
        <v>0</v>
      </c>
      <c r="F19" s="450">
        <v>0</v>
      </c>
      <c r="G19" s="451">
        <v>0</v>
      </c>
    </row>
    <row r="20" spans="1:7" ht="26.25">
      <c r="A20" s="448">
        <v>13</v>
      </c>
      <c r="B20" s="452" t="s">
        <v>515</v>
      </c>
      <c r="C20" s="450">
        <v>0</v>
      </c>
      <c r="D20" s="450">
        <v>17689881.578900009</v>
      </c>
      <c r="E20" s="450">
        <v>5211681.2699999996</v>
      </c>
      <c r="F20" s="450">
        <v>10556362.821499994</v>
      </c>
      <c r="G20" s="451">
        <v>0</v>
      </c>
    </row>
    <row r="21" spans="1:7">
      <c r="A21" s="455">
        <v>14</v>
      </c>
      <c r="B21" s="456" t="s">
        <v>516</v>
      </c>
      <c r="C21" s="453"/>
      <c r="D21" s="453"/>
      <c r="E21" s="453"/>
      <c r="F21" s="453"/>
      <c r="G21" s="457">
        <f>SUM(G8,G11,G14,G17,G18)</f>
        <v>863149939.6906848</v>
      </c>
    </row>
    <row r="22" spans="1:7">
      <c r="A22" s="458"/>
      <c r="B22" s="475" t="s">
        <v>517</v>
      </c>
      <c r="C22" s="459"/>
      <c r="D22" s="460"/>
      <c r="E22" s="459"/>
      <c r="F22" s="459"/>
      <c r="G22" s="461"/>
    </row>
    <row r="23" spans="1:7">
      <c r="A23" s="448">
        <v>15</v>
      </c>
      <c r="B23" s="449" t="s">
        <v>374</v>
      </c>
      <c r="C23" s="462">
        <v>279961832.91280001</v>
      </c>
      <c r="D23" s="463">
        <v>115585800</v>
      </c>
      <c r="E23" s="462">
        <v>0</v>
      </c>
      <c r="F23" s="462">
        <v>2261091.2000000002</v>
      </c>
      <c r="G23" s="451">
        <v>11234641.100620002</v>
      </c>
    </row>
    <row r="24" spans="1:7">
      <c r="A24" s="448">
        <v>16</v>
      </c>
      <c r="B24" s="449" t="s">
        <v>518</v>
      </c>
      <c r="C24" s="450">
        <f>SUM(C25:C27,C29,C31)</f>
        <v>1405504.6106999998</v>
      </c>
      <c r="D24" s="454">
        <f t="shared" ref="D24:G24" si="3">SUM(D25:D27,D29,D31)</f>
        <v>207469172.48483807</v>
      </c>
      <c r="E24" s="450">
        <f t="shared" si="3"/>
        <v>115350182.26440448</v>
      </c>
      <c r="F24" s="450">
        <f t="shared" si="3"/>
        <v>405414689.43159479</v>
      </c>
      <c r="G24" s="451">
        <f t="shared" si="3"/>
        <v>486675174.75282204</v>
      </c>
    </row>
    <row r="25" spans="1:7" ht="26.25">
      <c r="A25" s="448">
        <v>17</v>
      </c>
      <c r="B25" s="452" t="s">
        <v>519</v>
      </c>
      <c r="C25" s="450" t="s">
        <v>743</v>
      </c>
      <c r="D25" s="454">
        <v>0</v>
      </c>
      <c r="E25" s="450">
        <v>0</v>
      </c>
      <c r="F25" s="450">
        <v>0</v>
      </c>
      <c r="G25" s="451">
        <v>0</v>
      </c>
    </row>
    <row r="26" spans="1:7" ht="39">
      <c r="A26" s="448">
        <v>18</v>
      </c>
      <c r="B26" s="452" t="s">
        <v>520</v>
      </c>
      <c r="C26" s="450">
        <v>1405504.6106999998</v>
      </c>
      <c r="D26" s="454">
        <v>23165848.200000003</v>
      </c>
      <c r="E26" s="450">
        <v>191970.40287467031</v>
      </c>
      <c r="F26" s="450">
        <v>1373293.972461283</v>
      </c>
      <c r="G26" s="451">
        <v>5154982.095503618</v>
      </c>
    </row>
    <row r="27" spans="1:7">
      <c r="A27" s="448">
        <v>19</v>
      </c>
      <c r="B27" s="452" t="s">
        <v>521</v>
      </c>
      <c r="C27" s="450" t="s">
        <v>743</v>
      </c>
      <c r="D27" s="454">
        <v>84591063.865736008</v>
      </c>
      <c r="E27" s="450">
        <v>40916224.826325208</v>
      </c>
      <c r="F27" s="450">
        <v>137758417.88615233</v>
      </c>
      <c r="G27" s="451">
        <v>179848299.54926008</v>
      </c>
    </row>
    <row r="28" spans="1:7">
      <c r="A28" s="448">
        <v>20</v>
      </c>
      <c r="B28" s="464" t="s">
        <v>522</v>
      </c>
      <c r="C28" s="450">
        <v>0</v>
      </c>
      <c r="D28" s="454">
        <v>0</v>
      </c>
      <c r="E28" s="450">
        <v>0</v>
      </c>
      <c r="F28" s="450">
        <v>0</v>
      </c>
      <c r="G28" s="451">
        <v>0</v>
      </c>
    </row>
    <row r="29" spans="1:7">
      <c r="A29" s="448">
        <v>21</v>
      </c>
      <c r="B29" s="452" t="s">
        <v>523</v>
      </c>
      <c r="C29" s="450" t="s">
        <v>743</v>
      </c>
      <c r="D29" s="454">
        <v>98969326.119102031</v>
      </c>
      <c r="E29" s="450">
        <v>73500305.945204586</v>
      </c>
      <c r="F29" s="450">
        <v>261761096.50498113</v>
      </c>
      <c r="G29" s="451">
        <v>297085986.50525832</v>
      </c>
    </row>
    <row r="30" spans="1:7">
      <c r="A30" s="448">
        <v>22</v>
      </c>
      <c r="B30" s="464" t="s">
        <v>522</v>
      </c>
      <c r="C30" s="450">
        <v>0</v>
      </c>
      <c r="D30" s="454">
        <v>19851266.859547194</v>
      </c>
      <c r="E30" s="450">
        <v>15545219.570272153</v>
      </c>
      <c r="F30" s="450">
        <v>58228807.780644819</v>
      </c>
      <c r="G30" s="451">
        <v>55546968.272328809</v>
      </c>
    </row>
    <row r="31" spans="1:7" ht="26.25">
      <c r="A31" s="448">
        <v>23</v>
      </c>
      <c r="B31" s="452" t="s">
        <v>524</v>
      </c>
      <c r="C31" s="450" t="s">
        <v>743</v>
      </c>
      <c r="D31" s="454">
        <v>742934.3</v>
      </c>
      <c r="E31" s="450">
        <v>741681.08999999985</v>
      </c>
      <c r="F31" s="450">
        <v>4521881.068</v>
      </c>
      <c r="G31" s="451">
        <v>4585906.6027999995</v>
      </c>
    </row>
    <row r="32" spans="1:7">
      <c r="A32" s="448">
        <v>24</v>
      </c>
      <c r="B32" s="449" t="s">
        <v>525</v>
      </c>
      <c r="C32" s="450">
        <v>0</v>
      </c>
      <c r="D32" s="454">
        <v>0</v>
      </c>
      <c r="E32" s="450">
        <v>0</v>
      </c>
      <c r="F32" s="450">
        <v>0</v>
      </c>
      <c r="G32" s="451">
        <v>0</v>
      </c>
    </row>
    <row r="33" spans="1:7">
      <c r="A33" s="448">
        <v>25</v>
      </c>
      <c r="B33" s="449" t="s">
        <v>165</v>
      </c>
      <c r="C33" s="450">
        <f>SUM(C34:C35)</f>
        <v>26411649.110000007</v>
      </c>
      <c r="D33" s="450">
        <f>SUM(D34:D35)</f>
        <v>7232257.3633234017</v>
      </c>
      <c r="E33" s="450">
        <f>SUM(E34:E35)</f>
        <v>4524463.0742561277</v>
      </c>
      <c r="F33" s="450">
        <f>SUM(F34:F35)</f>
        <v>141476302.78755116</v>
      </c>
      <c r="G33" s="451">
        <f>SUM(G34:G35)</f>
        <v>173930994.39134094</v>
      </c>
    </row>
    <row r="34" spans="1:7">
      <c r="A34" s="448">
        <v>26</v>
      </c>
      <c r="B34" s="452" t="s">
        <v>526</v>
      </c>
      <c r="C34" s="453"/>
      <c r="D34" s="454">
        <v>329364.54999999609</v>
      </c>
      <c r="E34" s="450">
        <v>0</v>
      </c>
      <c r="F34" s="450">
        <v>0</v>
      </c>
      <c r="G34" s="451">
        <v>329364.54999999609</v>
      </c>
    </row>
    <row r="35" spans="1:7">
      <c r="A35" s="448">
        <v>27</v>
      </c>
      <c r="B35" s="452" t="s">
        <v>527</v>
      </c>
      <c r="C35" s="450">
        <v>26411649.110000007</v>
      </c>
      <c r="D35" s="454">
        <v>6902892.8133234056</v>
      </c>
      <c r="E35" s="450">
        <v>4524463.0742561277</v>
      </c>
      <c r="F35" s="450">
        <v>141476302.78755116</v>
      </c>
      <c r="G35" s="451">
        <v>173601629.84134096</v>
      </c>
    </row>
    <row r="36" spans="1:7">
      <c r="A36" s="448">
        <v>28</v>
      </c>
      <c r="B36" s="449" t="s">
        <v>528</v>
      </c>
      <c r="C36" s="450">
        <v>0</v>
      </c>
      <c r="D36" s="454">
        <v>16106488.547800003</v>
      </c>
      <c r="E36" s="450">
        <v>18754757.845599994</v>
      </c>
      <c r="F36" s="450">
        <v>38680184.145800054</v>
      </c>
      <c r="G36" s="451">
        <v>7478273.6288900021</v>
      </c>
    </row>
    <row r="37" spans="1:7">
      <c r="A37" s="455">
        <v>29</v>
      </c>
      <c r="B37" s="456" t="s">
        <v>529</v>
      </c>
      <c r="C37" s="453"/>
      <c r="D37" s="453"/>
      <c r="E37" s="453"/>
      <c r="F37" s="453"/>
      <c r="G37" s="457">
        <f>SUM(G23:G24,G32:G33,G36)</f>
        <v>679319083.87367308</v>
      </c>
    </row>
    <row r="38" spans="1:7">
      <c r="A38" s="444"/>
      <c r="B38" s="465"/>
      <c r="C38" s="466"/>
      <c r="D38" s="466"/>
      <c r="E38" s="466"/>
      <c r="F38" s="466"/>
      <c r="G38" s="467"/>
    </row>
    <row r="39" spans="1:7" ht="15.75" thickBot="1">
      <c r="A39" s="468">
        <v>30</v>
      </c>
      <c r="B39" s="469" t="s">
        <v>497</v>
      </c>
      <c r="C39" s="315"/>
      <c r="D39" s="298"/>
      <c r="E39" s="298"/>
      <c r="F39" s="470"/>
      <c r="G39" s="471">
        <f>IFERROR(G21/G37,0)</f>
        <v>1.270610468895935</v>
      </c>
    </row>
    <row r="42" spans="1:7" ht="39">
      <c r="B42" s="24" t="s">
        <v>530</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21" activePane="bottomRight" state="frozen"/>
      <selection activeCell="C50" sqref="C50"/>
      <selection pane="topRight" activeCell="C50" sqref="C50"/>
      <selection pane="bottomLeft" activeCell="C50" sqref="C50"/>
      <selection pane="bottomRight" activeCell="G14" sqref="G14"/>
    </sheetView>
  </sheetViews>
  <sheetFormatPr defaultRowHeight="15.75"/>
  <cols>
    <col min="1" max="1" width="9.5703125" style="20" bestFit="1" customWidth="1"/>
    <col min="2" max="2" width="88.42578125" style="17" customWidth="1"/>
    <col min="3" max="3" width="12.7109375" style="17" customWidth="1"/>
    <col min="4" max="4" width="12.7109375" style="2" customWidth="1"/>
    <col min="5" max="6" width="13.28515625" style="2" bestFit="1" customWidth="1"/>
    <col min="7" max="7" width="12.7109375" style="2" customWidth="1"/>
    <col min="8" max="13" width="6.7109375" customWidth="1"/>
  </cols>
  <sheetData>
    <row r="1" spans="1:8">
      <c r="A1" s="18" t="s">
        <v>188</v>
      </c>
      <c r="B1" s="398" t="str">
        <f>Info!C2</f>
        <v>ს.ს. "ტერაბანკი"</v>
      </c>
    </row>
    <row r="2" spans="1:8">
      <c r="A2" s="18" t="s">
        <v>189</v>
      </c>
      <c r="B2" s="421">
        <v>44377</v>
      </c>
      <c r="C2" s="30"/>
      <c r="D2" s="19"/>
      <c r="E2" s="19"/>
      <c r="F2" s="19"/>
      <c r="G2" s="19"/>
      <c r="H2" s="1"/>
    </row>
    <row r="3" spans="1:8">
      <c r="A3" s="18"/>
      <c r="C3" s="30"/>
      <c r="D3" s="19"/>
      <c r="E3" s="19"/>
      <c r="F3" s="19"/>
      <c r="G3" s="19"/>
      <c r="H3" s="1"/>
    </row>
    <row r="4" spans="1:8" ht="16.5" thickBot="1">
      <c r="A4" s="71" t="s">
        <v>328</v>
      </c>
      <c r="B4" s="206" t="s">
        <v>223</v>
      </c>
      <c r="C4" s="207"/>
      <c r="D4" s="208"/>
      <c r="E4" s="208"/>
      <c r="F4" s="208"/>
      <c r="G4" s="208"/>
      <c r="H4" s="1"/>
    </row>
    <row r="5" spans="1:8" ht="15">
      <c r="A5" s="284" t="s">
        <v>26</v>
      </c>
      <c r="B5" s="285"/>
      <c r="C5" s="422" t="str">
        <f>INT((MONTH($B$2))/3)&amp;"Q"&amp;"-"&amp;YEAR($B$2)</f>
        <v>2Q-2021</v>
      </c>
      <c r="D5" s="422" t="str">
        <f>IF(INT(MONTH($B$2))=3, "4"&amp;"Q"&amp;"-"&amp;YEAR($B$2)-1, IF(INT(MONTH($B$2))=6, "1"&amp;"Q"&amp;"-"&amp;YEAR($B$2), IF(INT(MONTH($B$2))=9, "2"&amp;"Q"&amp;"-"&amp;YEAR($B$2),IF(INT(MONTH($B$2))=12, "3"&amp;"Q"&amp;"-"&amp;YEAR($B$2), 0))))</f>
        <v>1Q-2021</v>
      </c>
      <c r="E5" s="422" t="str">
        <f>IF(INT(MONTH($B$2))=3, "3"&amp;"Q"&amp;"-"&amp;YEAR($B$2)-1, IF(INT(MONTH($B$2))=6, "4"&amp;"Q"&amp;"-"&amp;YEAR($B$2)-1, IF(INT(MONTH($B$2))=9, "1"&amp;"Q"&amp;"-"&amp;YEAR($B$2),IF(INT(MONTH($B$2))=12, "2"&amp;"Q"&amp;"-"&amp;YEAR($B$2), 0))))</f>
        <v>4Q-2020</v>
      </c>
      <c r="F5" s="422" t="str">
        <f>IF(INT(MONTH($B$2))=3, "2"&amp;"Q"&amp;"-"&amp;YEAR($B$2)-1, IF(INT(MONTH($B$2))=6, "3"&amp;"Q"&amp;"-"&amp;YEAR($B$2)-1, IF(INT(MONTH($B$2))=9, "4"&amp;"Q"&amp;"-"&amp;YEAR($B$2)-1,IF(INT(MONTH($B$2))=12, "1"&amp;"Q"&amp;"-"&amp;YEAR($B$2), 0))))</f>
        <v>3Q-2020</v>
      </c>
      <c r="G5" s="423" t="str">
        <f>IF(INT(MONTH($B$2))=3, "1"&amp;"Q"&amp;"-"&amp;YEAR($B$2)-1, IF(INT(MONTH($B$2))=6, "2"&amp;"Q"&amp;"-"&amp;YEAR($B$2)-1, IF(INT(MONTH($B$2))=9, "3"&amp;"Q"&amp;"-"&amp;YEAR($B$2)-1,IF(INT(MONTH($B$2))=12, "4"&amp;"Q"&amp;"-"&amp;YEAR($B$2)-1, 0))))</f>
        <v>2Q-2020</v>
      </c>
    </row>
    <row r="6" spans="1:8" ht="15">
      <c r="A6" s="424"/>
      <c r="B6" s="425" t="s">
        <v>186</v>
      </c>
      <c r="C6" s="286"/>
      <c r="D6" s="286"/>
      <c r="E6" s="286"/>
      <c r="F6" s="286"/>
      <c r="G6" s="287"/>
    </row>
    <row r="7" spans="1:8" ht="15">
      <c r="A7" s="424"/>
      <c r="B7" s="426" t="s">
        <v>190</v>
      </c>
      <c r="C7" s="286"/>
      <c r="D7" s="286"/>
      <c r="E7" s="286"/>
      <c r="F7" s="286"/>
      <c r="G7" s="287"/>
    </row>
    <row r="8" spans="1:8" ht="15">
      <c r="A8" s="403">
        <v>1</v>
      </c>
      <c r="B8" s="404" t="s">
        <v>23</v>
      </c>
      <c r="C8" s="564">
        <v>117539309.89999998</v>
      </c>
      <c r="D8" s="565">
        <v>109621501.12000002</v>
      </c>
      <c r="E8" s="565">
        <v>102541789.95999981</v>
      </c>
      <c r="F8" s="565">
        <v>101028332.58999997</v>
      </c>
      <c r="G8" s="777">
        <v>96484633.270000085</v>
      </c>
    </row>
    <row r="9" spans="1:8" ht="15">
      <c r="A9" s="403">
        <v>2</v>
      </c>
      <c r="B9" s="404" t="s">
        <v>89</v>
      </c>
      <c r="C9" s="564">
        <v>117539309.89999998</v>
      </c>
      <c r="D9" s="565">
        <v>109621501.12000002</v>
      </c>
      <c r="E9" s="565">
        <v>102541789.95999981</v>
      </c>
      <c r="F9" s="565">
        <v>101028332.58999997</v>
      </c>
      <c r="G9" s="777">
        <v>96484633.270000085</v>
      </c>
    </row>
    <row r="10" spans="1:8" ht="15">
      <c r="A10" s="403">
        <v>3</v>
      </c>
      <c r="B10" s="404" t="s">
        <v>88</v>
      </c>
      <c r="C10" s="564">
        <v>170432591.27043557</v>
      </c>
      <c r="D10" s="565">
        <v>170706047.02025315</v>
      </c>
      <c r="E10" s="565">
        <v>160530749.12373734</v>
      </c>
      <c r="F10" s="565">
        <v>161137592.89336559</v>
      </c>
      <c r="G10" s="777">
        <v>152741011.19189069</v>
      </c>
    </row>
    <row r="11" spans="1:8" ht="15">
      <c r="A11" s="403">
        <v>4</v>
      </c>
      <c r="B11" s="404" t="s">
        <v>488</v>
      </c>
      <c r="C11" s="427">
        <v>67562888.890113622</v>
      </c>
      <c r="D11" s="428">
        <v>69721108.361561388</v>
      </c>
      <c r="E11" s="428">
        <v>59346101.396116592</v>
      </c>
      <c r="F11" s="428">
        <v>59314845.281158179</v>
      </c>
      <c r="G11" s="429">
        <v>53028415.019578509</v>
      </c>
    </row>
    <row r="12" spans="1:8" ht="15">
      <c r="A12" s="403">
        <v>5</v>
      </c>
      <c r="B12" s="404" t="s">
        <v>489</v>
      </c>
      <c r="C12" s="427">
        <v>90117179.82104367</v>
      </c>
      <c r="D12" s="428">
        <v>92997502.363803014</v>
      </c>
      <c r="E12" s="428">
        <v>79161981.000491947</v>
      </c>
      <c r="F12" s="428">
        <v>79121893.595452741</v>
      </c>
      <c r="G12" s="429">
        <v>70735263.086167067</v>
      </c>
    </row>
    <row r="13" spans="1:8" ht="15">
      <c r="A13" s="403">
        <v>6</v>
      </c>
      <c r="B13" s="404" t="s">
        <v>490</v>
      </c>
      <c r="C13" s="427">
        <v>139149563.60297608</v>
      </c>
      <c r="D13" s="428">
        <v>143690154.16358376</v>
      </c>
      <c r="E13" s="428">
        <v>134692303.79187974</v>
      </c>
      <c r="F13" s="428">
        <v>134370663.78497708</v>
      </c>
      <c r="G13" s="429">
        <v>120432794.13456324</v>
      </c>
    </row>
    <row r="14" spans="1:8" ht="15">
      <c r="A14" s="424"/>
      <c r="B14" s="425" t="s">
        <v>492</v>
      </c>
      <c r="C14" s="566"/>
      <c r="D14" s="566"/>
      <c r="E14" s="566"/>
      <c r="F14" s="566"/>
      <c r="G14" s="567"/>
    </row>
    <row r="15" spans="1:8" ht="15" customHeight="1">
      <c r="A15" s="403">
        <v>7</v>
      </c>
      <c r="B15" s="404" t="s">
        <v>491</v>
      </c>
      <c r="C15" s="568">
        <v>1105639920.9348476</v>
      </c>
      <c r="D15" s="565">
        <v>1133530825.6302505</v>
      </c>
      <c r="E15" s="569">
        <v>1059976416.0590007</v>
      </c>
      <c r="F15" s="569">
        <v>1054574532.8080001</v>
      </c>
      <c r="G15" s="570">
        <v>945036348.83999848</v>
      </c>
    </row>
    <row r="16" spans="1:8" ht="15">
      <c r="A16" s="424"/>
      <c r="B16" s="425" t="s">
        <v>496</v>
      </c>
      <c r="C16" s="286"/>
      <c r="D16" s="286"/>
      <c r="E16" s="286"/>
      <c r="F16" s="286"/>
      <c r="G16" s="287"/>
    </row>
    <row r="17" spans="1:7" s="3" customFormat="1" ht="15">
      <c r="A17" s="403"/>
      <c r="B17" s="426" t="s">
        <v>477</v>
      </c>
      <c r="C17" s="286"/>
      <c r="D17" s="286"/>
      <c r="E17" s="286"/>
      <c r="F17" s="286"/>
      <c r="G17" s="287"/>
    </row>
    <row r="18" spans="1:7" ht="15">
      <c r="A18" s="402">
        <v>8</v>
      </c>
      <c r="B18" s="430" t="s">
        <v>486</v>
      </c>
      <c r="C18" s="558">
        <v>0.10630885125838926</v>
      </c>
      <c r="D18" s="559">
        <v>9.6708001795231077E-2</v>
      </c>
      <c r="E18" s="559">
        <v>9.6739690059568367E-2</v>
      </c>
      <c r="F18" s="559">
        <v>9.5800087568010311E-2</v>
      </c>
      <c r="G18" s="560">
        <v>0.10209621395878778</v>
      </c>
    </row>
    <row r="19" spans="1:7" ht="15" customHeight="1">
      <c r="A19" s="402">
        <v>9</v>
      </c>
      <c r="B19" s="430" t="s">
        <v>485</v>
      </c>
      <c r="C19" s="558">
        <v>0.10630885125838926</v>
      </c>
      <c r="D19" s="559">
        <v>9.6708001795231077E-2</v>
      </c>
      <c r="E19" s="559">
        <v>9.6739690059568367E-2</v>
      </c>
      <c r="F19" s="559">
        <v>9.5800087568010311E-2</v>
      </c>
      <c r="G19" s="560">
        <v>0.10209621395878778</v>
      </c>
    </row>
    <row r="20" spans="1:7" ht="15">
      <c r="A20" s="402">
        <v>10</v>
      </c>
      <c r="B20" s="430" t="s">
        <v>487</v>
      </c>
      <c r="C20" s="558">
        <v>0.15414836968470741</v>
      </c>
      <c r="D20" s="559">
        <v>0.15059673999190934</v>
      </c>
      <c r="E20" s="559">
        <v>0.15144747250188048</v>
      </c>
      <c r="F20" s="559">
        <v>0.15279867650919551</v>
      </c>
      <c r="G20" s="560">
        <v>0.1616244828882776</v>
      </c>
    </row>
    <row r="21" spans="1:7" ht="15">
      <c r="A21" s="402">
        <v>11</v>
      </c>
      <c r="B21" s="404" t="s">
        <v>488</v>
      </c>
      <c r="C21" s="436">
        <v>6.110749766794548E-2</v>
      </c>
      <c r="D21" s="436">
        <v>6.1507906785680931E-2</v>
      </c>
      <c r="E21" s="436">
        <v>5.598813378958542E-2</v>
      </c>
      <c r="F21" s="436">
        <v>5.6245285122921956E-2</v>
      </c>
      <c r="G21" s="778">
        <v>5.6112566553306834E-2</v>
      </c>
    </row>
    <row r="22" spans="1:7" ht="15">
      <c r="A22" s="402">
        <v>12</v>
      </c>
      <c r="B22" s="404" t="s">
        <v>489</v>
      </c>
      <c r="C22" s="436">
        <v>8.1506807157295136E-2</v>
      </c>
      <c r="D22" s="436">
        <v>8.2042323209071802E-2</v>
      </c>
      <c r="E22" s="436">
        <v>7.4682775768555976E-2</v>
      </c>
      <c r="F22" s="436">
        <v>7.5027313038535118E-2</v>
      </c>
      <c r="G22" s="778">
        <v>7.4849251219799448E-2</v>
      </c>
    </row>
    <row r="23" spans="1:7" ht="15">
      <c r="A23" s="402">
        <v>13</v>
      </c>
      <c r="B23" s="404" t="s">
        <v>490</v>
      </c>
      <c r="C23" s="436">
        <v>0.12585432288418227</v>
      </c>
      <c r="D23" s="436">
        <v>0.126763340629657</v>
      </c>
      <c r="E23" s="436">
        <v>0.1270710383280664</v>
      </c>
      <c r="F23" s="436">
        <v>0.12741694361534628</v>
      </c>
      <c r="G23" s="778">
        <v>0.12743720840197373</v>
      </c>
    </row>
    <row r="24" spans="1:7" ht="15">
      <c r="A24" s="424"/>
      <c r="B24" s="425" t="s">
        <v>6</v>
      </c>
      <c r="C24" s="286"/>
      <c r="D24" s="286"/>
      <c r="E24" s="286"/>
      <c r="F24" s="286"/>
      <c r="G24" s="287"/>
    </row>
    <row r="25" spans="1:7" ht="15" customHeight="1">
      <c r="A25" s="431">
        <v>14</v>
      </c>
      <c r="B25" s="432" t="s">
        <v>7</v>
      </c>
      <c r="C25" s="561">
        <v>7.7078535087239275E-2</v>
      </c>
      <c r="D25" s="561">
        <v>7.4064490838191596E-2</v>
      </c>
      <c r="E25" s="561">
        <v>7.7817841012045114E-2</v>
      </c>
      <c r="F25" s="561">
        <v>7.7874935162442024E-2</v>
      </c>
      <c r="G25" s="562">
        <v>7.8709926699469496E-2</v>
      </c>
    </row>
    <row r="26" spans="1:7" ht="15">
      <c r="A26" s="431">
        <v>15</v>
      </c>
      <c r="B26" s="432" t="s">
        <v>8</v>
      </c>
      <c r="C26" s="561">
        <v>4.1002177850396088E-2</v>
      </c>
      <c r="D26" s="561">
        <v>4.0413603449773502E-2</v>
      </c>
      <c r="E26" s="561">
        <v>4.1379222976943068E-2</v>
      </c>
      <c r="F26" s="561">
        <v>4.1305140297601996E-2</v>
      </c>
      <c r="G26" s="562">
        <v>4.0629144363182053E-2</v>
      </c>
    </row>
    <row r="27" spans="1:7" ht="15">
      <c r="A27" s="431">
        <v>16</v>
      </c>
      <c r="B27" s="432" t="s">
        <v>9</v>
      </c>
      <c r="C27" s="563">
        <v>2.254420603586782E-2</v>
      </c>
      <c r="D27" s="561">
        <v>2.3213757742185342E-2</v>
      </c>
      <c r="E27" s="561">
        <v>1.2389632171424041E-2</v>
      </c>
      <c r="F27" s="561">
        <v>1.5900476895389294E-2</v>
      </c>
      <c r="G27" s="562">
        <v>1.8913243583104072E-2</v>
      </c>
    </row>
    <row r="28" spans="1:7" ht="15">
      <c r="A28" s="431">
        <v>17</v>
      </c>
      <c r="B28" s="432" t="s">
        <v>224</v>
      </c>
      <c r="C28" s="563">
        <v>3.6076357236843201E-2</v>
      </c>
      <c r="D28" s="561">
        <v>3.3650887388418087E-2</v>
      </c>
      <c r="E28" s="561">
        <v>3.6438618035102052E-2</v>
      </c>
      <c r="F28" s="561">
        <v>3.6569794864840029E-2</v>
      </c>
      <c r="G28" s="562">
        <v>3.8080782336287457E-2</v>
      </c>
    </row>
    <row r="29" spans="1:7" ht="15">
      <c r="A29" s="431">
        <v>18</v>
      </c>
      <c r="B29" s="432" t="s">
        <v>10</v>
      </c>
      <c r="C29" s="563">
        <v>2.2942414711770685E-2</v>
      </c>
      <c r="D29" s="561">
        <v>2.1506716452464058E-2</v>
      </c>
      <c r="E29" s="561">
        <v>-1.2275759053525463E-2</v>
      </c>
      <c r="F29" s="561">
        <v>-1.8404032849966553E-2</v>
      </c>
      <c r="G29" s="562">
        <v>-3.6937743299127128E-2</v>
      </c>
    </row>
    <row r="30" spans="1:7" ht="15">
      <c r="A30" s="431">
        <v>19</v>
      </c>
      <c r="B30" s="432" t="s">
        <v>11</v>
      </c>
      <c r="C30" s="563">
        <v>0.22635155335517654</v>
      </c>
      <c r="D30" s="561">
        <v>0.21486129695823081</v>
      </c>
      <c r="E30" s="561">
        <v>-0.10838720508629283</v>
      </c>
      <c r="F30" s="561">
        <v>-0.1570703488917761</v>
      </c>
      <c r="G30" s="562">
        <v>-0.30087678771847082</v>
      </c>
    </row>
    <row r="31" spans="1:7" ht="15">
      <c r="A31" s="424"/>
      <c r="B31" s="425" t="s">
        <v>12</v>
      </c>
      <c r="C31" s="571"/>
      <c r="D31" s="571"/>
      <c r="E31" s="571"/>
      <c r="F31" s="571"/>
      <c r="G31" s="572"/>
    </row>
    <row r="32" spans="1:7" ht="15">
      <c r="A32" s="431">
        <v>20</v>
      </c>
      <c r="B32" s="432" t="s">
        <v>13</v>
      </c>
      <c r="C32" s="563">
        <v>6.8140105477074983E-2</v>
      </c>
      <c r="D32" s="561">
        <v>6.9921951460557394E-2</v>
      </c>
      <c r="E32" s="561">
        <v>7.2240640886518909E-2</v>
      </c>
      <c r="F32" s="561">
        <v>5.2185312917264338E-2</v>
      </c>
      <c r="G32" s="562">
        <v>6.7659101278442199E-2</v>
      </c>
    </row>
    <row r="33" spans="1:7" ht="15" customHeight="1">
      <c r="A33" s="431">
        <v>21</v>
      </c>
      <c r="B33" s="432" t="s">
        <v>14</v>
      </c>
      <c r="C33" s="563">
        <v>5.6147245315285484E-2</v>
      </c>
      <c r="D33" s="561">
        <v>5.7093094356388562E-2</v>
      </c>
      <c r="E33" s="561">
        <v>5.9114703239570507E-2</v>
      </c>
      <c r="F33" s="561">
        <v>6.5284445187443349E-2</v>
      </c>
      <c r="G33" s="562">
        <v>8.2790658124955036E-2</v>
      </c>
    </row>
    <row r="34" spans="1:7" ht="15">
      <c r="A34" s="431">
        <v>22</v>
      </c>
      <c r="B34" s="432" t="s">
        <v>15</v>
      </c>
      <c r="C34" s="563">
        <v>0.59519210904633968</v>
      </c>
      <c r="D34" s="561">
        <v>0.63156852259791352</v>
      </c>
      <c r="E34" s="561">
        <v>0.62863848087919993</v>
      </c>
      <c r="F34" s="561">
        <v>0.64172878135359779</v>
      </c>
      <c r="G34" s="562">
        <v>0.62438918539829058</v>
      </c>
    </row>
    <row r="35" spans="1:7" ht="15" customHeight="1">
      <c r="A35" s="431">
        <v>23</v>
      </c>
      <c r="B35" s="432" t="s">
        <v>16</v>
      </c>
      <c r="C35" s="563">
        <v>0.55583691322547357</v>
      </c>
      <c r="D35" s="561">
        <v>0.61179124082426106</v>
      </c>
      <c r="E35" s="561">
        <v>0.59865468832544499</v>
      </c>
      <c r="F35" s="561">
        <v>0.60427876072514053</v>
      </c>
      <c r="G35" s="562">
        <v>0.59609508494074537</v>
      </c>
    </row>
    <row r="36" spans="1:7" ht="15">
      <c r="A36" s="431">
        <v>24</v>
      </c>
      <c r="B36" s="432" t="s">
        <v>17</v>
      </c>
      <c r="C36" s="563">
        <v>2.4399238775824207E-2</v>
      </c>
      <c r="D36" s="561">
        <v>4.2016232781066878E-2</v>
      </c>
      <c r="E36" s="561">
        <v>0.20099905280552549</v>
      </c>
      <c r="F36" s="561">
        <v>0.16093287139459622</v>
      </c>
      <c r="G36" s="562">
        <v>6.1634440740268526E-2</v>
      </c>
    </row>
    <row r="37" spans="1:7" ht="15" customHeight="1">
      <c r="A37" s="424"/>
      <c r="B37" s="425" t="s">
        <v>18</v>
      </c>
      <c r="C37" s="571"/>
      <c r="D37" s="571"/>
      <c r="E37" s="571"/>
      <c r="F37" s="571"/>
      <c r="G37" s="572"/>
    </row>
    <row r="38" spans="1:7" ht="15" customHeight="1">
      <c r="A38" s="431">
        <v>25</v>
      </c>
      <c r="B38" s="432" t="s">
        <v>19</v>
      </c>
      <c r="C38" s="563">
        <v>0.20821737052630823</v>
      </c>
      <c r="D38" s="561">
        <v>0.2216475924158256</v>
      </c>
      <c r="E38" s="563">
        <v>0.20569996122821141</v>
      </c>
      <c r="F38" s="563">
        <v>0.20037260559646963</v>
      </c>
      <c r="G38" s="573">
        <v>0.18299446219469395</v>
      </c>
    </row>
    <row r="39" spans="1:7" ht="15" customHeight="1">
      <c r="A39" s="431">
        <v>26</v>
      </c>
      <c r="B39" s="432" t="s">
        <v>20</v>
      </c>
      <c r="C39" s="563">
        <v>0.61261553221846121</v>
      </c>
      <c r="D39" s="561">
        <v>0.67300940590410796</v>
      </c>
      <c r="E39" s="563">
        <v>0.65864963141201838</v>
      </c>
      <c r="F39" s="563">
        <v>0.66451831309809084</v>
      </c>
      <c r="G39" s="573">
        <v>0.65831119374528912</v>
      </c>
    </row>
    <row r="40" spans="1:7" ht="15" customHeight="1">
      <c r="A40" s="431">
        <v>27</v>
      </c>
      <c r="B40" s="433" t="s">
        <v>21</v>
      </c>
      <c r="C40" s="563">
        <v>0.35948163206570921</v>
      </c>
      <c r="D40" s="561">
        <v>0.38331218429686859</v>
      </c>
      <c r="E40" s="563">
        <v>0.3676450180463407</v>
      </c>
      <c r="F40" s="563">
        <v>0.38141321233034131</v>
      </c>
      <c r="G40" s="573">
        <v>0.32702628850072507</v>
      </c>
    </row>
    <row r="41" spans="1:7" ht="15" customHeight="1">
      <c r="A41" s="434"/>
      <c r="B41" s="425" t="s">
        <v>398</v>
      </c>
      <c r="C41" s="286"/>
      <c r="D41" s="286"/>
      <c r="E41" s="286"/>
      <c r="F41" s="286"/>
      <c r="G41" s="287"/>
    </row>
    <row r="42" spans="1:7" ht="15" customHeight="1">
      <c r="A42" s="431">
        <v>28</v>
      </c>
      <c r="B42" s="474" t="s">
        <v>391</v>
      </c>
      <c r="C42" s="574">
        <v>298336258.7348811</v>
      </c>
      <c r="D42" s="574">
        <v>289264032.8139711</v>
      </c>
      <c r="E42" s="574">
        <v>264884270.43885708</v>
      </c>
      <c r="F42" s="574">
        <v>241639004.83403173</v>
      </c>
      <c r="G42" s="575">
        <v>220354395.05208892</v>
      </c>
    </row>
    <row r="43" spans="1:7" ht="15">
      <c r="A43" s="431">
        <v>29</v>
      </c>
      <c r="B43" s="432" t="s">
        <v>392</v>
      </c>
      <c r="C43" s="574">
        <v>238985389.94118422</v>
      </c>
      <c r="D43" s="574">
        <v>240778295.8594408</v>
      </c>
      <c r="E43" s="576">
        <v>221952064.77880499</v>
      </c>
      <c r="F43" s="576">
        <v>193745939.50013483</v>
      </c>
      <c r="G43" s="577">
        <v>160867671.24180427</v>
      </c>
    </row>
    <row r="44" spans="1:7" ht="15">
      <c r="A44" s="472">
        <v>30</v>
      </c>
      <c r="B44" s="473" t="s">
        <v>390</v>
      </c>
      <c r="C44" s="578">
        <v>1.2483451762817113</v>
      </c>
      <c r="D44" s="579">
        <v>1.2013708784733439</v>
      </c>
      <c r="E44" s="579">
        <v>1.1934300800618272</v>
      </c>
      <c r="F44" s="579">
        <v>1.2471951951997609</v>
      </c>
      <c r="G44" s="580">
        <v>1.3697866908315508</v>
      </c>
    </row>
    <row r="45" spans="1:7" ht="15">
      <c r="A45" s="472"/>
      <c r="B45" s="425" t="s">
        <v>497</v>
      </c>
      <c r="C45" s="286"/>
      <c r="D45" s="286"/>
      <c r="E45" s="286"/>
      <c r="F45" s="286"/>
      <c r="G45" s="287"/>
    </row>
    <row r="46" spans="1:7" ht="15">
      <c r="A46" s="472">
        <v>31</v>
      </c>
      <c r="B46" s="473" t="s">
        <v>504</v>
      </c>
      <c r="C46" s="582">
        <v>863149939.6906848</v>
      </c>
      <c r="D46" s="582">
        <v>853169392.72288966</v>
      </c>
      <c r="E46" s="582">
        <v>828136009.79051459</v>
      </c>
      <c r="F46" s="582">
        <v>807343465.24172497</v>
      </c>
      <c r="G46" s="583">
        <v>727631113.23463488</v>
      </c>
    </row>
    <row r="47" spans="1:7" ht="15">
      <c r="A47" s="472">
        <v>32</v>
      </c>
      <c r="B47" s="473" t="s">
        <v>517</v>
      </c>
      <c r="C47" s="582">
        <v>679319083.87367308</v>
      </c>
      <c r="D47" s="582">
        <v>687992796.82591188</v>
      </c>
      <c r="E47" s="582">
        <v>685096938.77183557</v>
      </c>
      <c r="F47" s="582">
        <v>677070577.10934162</v>
      </c>
      <c r="G47" s="583">
        <v>599544249.26444614</v>
      </c>
    </row>
    <row r="48" spans="1:7" thickBot="1">
      <c r="A48" s="123">
        <v>33</v>
      </c>
      <c r="B48" s="230" t="s">
        <v>531</v>
      </c>
      <c r="C48" s="584">
        <v>1.270610468895935</v>
      </c>
      <c r="D48" s="584">
        <v>1.2400847751008848</v>
      </c>
      <c r="E48" s="584">
        <v>1.2087866153293625</v>
      </c>
      <c r="F48" s="584">
        <v>1.1924066597142136</v>
      </c>
      <c r="G48" s="581">
        <v>1.2136403845543222</v>
      </c>
    </row>
    <row r="49" spans="1:7">
      <c r="A49" s="21"/>
    </row>
    <row r="50" spans="1:7" ht="39.75">
      <c r="B50" s="24" t="s">
        <v>476</v>
      </c>
    </row>
    <row r="51" spans="1:7" ht="65.25">
      <c r="B51" s="332" t="s">
        <v>397</v>
      </c>
      <c r="D51" s="307"/>
      <c r="E51" s="307"/>
      <c r="F51" s="307"/>
      <c r="G51" s="307"/>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election activeCell="G21" sqref="G21"/>
    </sheetView>
  </sheetViews>
  <sheetFormatPr defaultColWidth="9.140625" defaultRowHeight="12.75"/>
  <cols>
    <col min="1" max="1" width="11.85546875" style="477" bestFit="1" customWidth="1"/>
    <col min="2" max="2" width="105.140625" style="477" bestFit="1" customWidth="1"/>
    <col min="3" max="6" width="18.140625" style="477" bestFit="1" customWidth="1"/>
    <col min="7" max="7" width="25.5703125" style="477" customWidth="1"/>
    <col min="8" max="8" width="16.5703125" style="477" customWidth="1"/>
    <col min="9" max="16384" width="9.140625" style="477"/>
  </cols>
  <sheetData>
    <row r="1" spans="1:8">
      <c r="A1" s="476" t="s">
        <v>188</v>
      </c>
    </row>
    <row r="2" spans="1:8">
      <c r="A2" s="478" t="s">
        <v>189</v>
      </c>
    </row>
    <row r="3" spans="1:8">
      <c r="A3" s="479" t="s">
        <v>533</v>
      </c>
      <c r="B3" s="480">
        <f>'1. key ratios'!B2</f>
        <v>44377</v>
      </c>
    </row>
    <row r="5" spans="1:8">
      <c r="A5" s="721" t="s">
        <v>534</v>
      </c>
      <c r="B5" s="722"/>
      <c r="C5" s="727" t="s">
        <v>535</v>
      </c>
      <c r="D5" s="728"/>
      <c r="E5" s="728"/>
      <c r="F5" s="728"/>
      <c r="G5" s="728"/>
      <c r="H5" s="729"/>
    </row>
    <row r="6" spans="1:8">
      <c r="A6" s="723"/>
      <c r="B6" s="724"/>
      <c r="C6" s="730"/>
      <c r="D6" s="731"/>
      <c r="E6" s="731"/>
      <c r="F6" s="731"/>
      <c r="G6" s="731"/>
      <c r="H6" s="732"/>
    </row>
    <row r="7" spans="1:8" ht="25.5">
      <c r="A7" s="725"/>
      <c r="B7" s="726"/>
      <c r="C7" s="481" t="s">
        <v>536</v>
      </c>
      <c r="D7" s="481" t="s">
        <v>537</v>
      </c>
      <c r="E7" s="481" t="s">
        <v>538</v>
      </c>
      <c r="F7" s="481" t="s">
        <v>539</v>
      </c>
      <c r="G7" s="550" t="s">
        <v>711</v>
      </c>
      <c r="H7" s="481" t="s">
        <v>68</v>
      </c>
    </row>
    <row r="8" spans="1:8">
      <c r="A8" s="482">
        <v>1</v>
      </c>
      <c r="B8" s="483" t="s">
        <v>216</v>
      </c>
      <c r="C8" s="649">
        <v>172709662.09</v>
      </c>
      <c r="D8" s="649">
        <v>48267776.760000005</v>
      </c>
      <c r="E8" s="649">
        <v>61802623.24000001</v>
      </c>
      <c r="F8" s="649">
        <v>10790000</v>
      </c>
      <c r="G8" s="649">
        <v>0</v>
      </c>
      <c r="H8" s="649">
        <f>SUM(C8:G8)</f>
        <v>293570062.09000003</v>
      </c>
    </row>
    <row r="9" spans="1:8">
      <c r="A9" s="482">
        <v>2</v>
      </c>
      <c r="B9" s="483" t="s">
        <v>217</v>
      </c>
      <c r="C9" s="649">
        <v>0</v>
      </c>
      <c r="D9" s="649">
        <v>0</v>
      </c>
      <c r="E9" s="649">
        <v>0</v>
      </c>
      <c r="F9" s="649">
        <v>0</v>
      </c>
      <c r="G9" s="649">
        <v>0</v>
      </c>
      <c r="H9" s="649">
        <f t="shared" ref="H9:H21" si="0">SUM(C9:G9)</f>
        <v>0</v>
      </c>
    </row>
    <row r="10" spans="1:8">
      <c r="A10" s="482">
        <v>3</v>
      </c>
      <c r="B10" s="483" t="s">
        <v>218</v>
      </c>
      <c r="C10" s="649">
        <v>0</v>
      </c>
      <c r="D10" s="649">
        <v>0</v>
      </c>
      <c r="E10" s="649">
        <v>0</v>
      </c>
      <c r="F10" s="649">
        <v>0</v>
      </c>
      <c r="G10" s="649">
        <v>0</v>
      </c>
      <c r="H10" s="649">
        <f t="shared" si="0"/>
        <v>0</v>
      </c>
    </row>
    <row r="11" spans="1:8">
      <c r="A11" s="482">
        <v>4</v>
      </c>
      <c r="B11" s="483" t="s">
        <v>219</v>
      </c>
      <c r="C11" s="649">
        <v>0</v>
      </c>
      <c r="D11" s="649">
        <v>0</v>
      </c>
      <c r="E11" s="649">
        <v>0</v>
      </c>
      <c r="F11" s="649">
        <v>0</v>
      </c>
      <c r="G11" s="649">
        <v>0</v>
      </c>
      <c r="H11" s="649">
        <f t="shared" si="0"/>
        <v>0</v>
      </c>
    </row>
    <row r="12" spans="1:8">
      <c r="A12" s="482">
        <v>5</v>
      </c>
      <c r="B12" s="483" t="s">
        <v>220</v>
      </c>
      <c r="C12" s="649">
        <v>0</v>
      </c>
      <c r="D12" s="649">
        <v>0</v>
      </c>
      <c r="E12" s="649">
        <v>0</v>
      </c>
      <c r="F12" s="649">
        <v>0</v>
      </c>
      <c r="G12" s="649">
        <v>0</v>
      </c>
      <c r="H12" s="649">
        <f t="shared" si="0"/>
        <v>0</v>
      </c>
    </row>
    <row r="13" spans="1:8">
      <c r="A13" s="482">
        <v>6</v>
      </c>
      <c r="B13" s="483" t="s">
        <v>221</v>
      </c>
      <c r="C13" s="649">
        <v>20923178.440000001</v>
      </c>
      <c r="D13" s="649">
        <v>0</v>
      </c>
      <c r="E13" s="649">
        <v>0</v>
      </c>
      <c r="F13" s="649">
        <v>2261091.2000000002</v>
      </c>
      <c r="G13" s="649">
        <v>0</v>
      </c>
      <c r="H13" s="649">
        <f t="shared" si="0"/>
        <v>23184269.640000001</v>
      </c>
    </row>
    <row r="14" spans="1:8">
      <c r="A14" s="482">
        <v>7</v>
      </c>
      <c r="B14" s="483" t="s">
        <v>73</v>
      </c>
      <c r="C14" s="649">
        <v>0</v>
      </c>
      <c r="D14" s="649">
        <v>104773238.2399978</v>
      </c>
      <c r="E14" s="649">
        <v>119323458.21000002</v>
      </c>
      <c r="F14" s="649">
        <v>259795059.78000003</v>
      </c>
      <c r="G14" s="649">
        <v>0</v>
      </c>
      <c r="H14" s="649">
        <f t="shared" si="0"/>
        <v>483891756.22999787</v>
      </c>
    </row>
    <row r="15" spans="1:8">
      <c r="A15" s="482">
        <v>8</v>
      </c>
      <c r="B15" s="485" t="s">
        <v>74</v>
      </c>
      <c r="C15" s="649">
        <v>0</v>
      </c>
      <c r="D15" s="649">
        <v>19810975.740000047</v>
      </c>
      <c r="E15" s="649">
        <v>121524947.4500003</v>
      </c>
      <c r="F15" s="649">
        <v>142647425.61999992</v>
      </c>
      <c r="G15" s="649">
        <v>503591.52999999997</v>
      </c>
      <c r="H15" s="649">
        <f t="shared" si="0"/>
        <v>284486940.34000027</v>
      </c>
    </row>
    <row r="16" spans="1:8">
      <c r="A16" s="482">
        <v>9</v>
      </c>
      <c r="B16" s="483" t="s">
        <v>75</v>
      </c>
      <c r="C16" s="649">
        <v>0</v>
      </c>
      <c r="D16" s="649">
        <v>5854542.8100000005</v>
      </c>
      <c r="E16" s="649">
        <v>36183734.470000006</v>
      </c>
      <c r="F16" s="649">
        <v>78647087.040000036</v>
      </c>
      <c r="G16" s="649">
        <v>0</v>
      </c>
      <c r="H16" s="649">
        <f t="shared" si="0"/>
        <v>120685364.32000005</v>
      </c>
    </row>
    <row r="17" spans="1:8">
      <c r="A17" s="482">
        <v>10</v>
      </c>
      <c r="B17" s="553" t="s">
        <v>561</v>
      </c>
      <c r="C17" s="649">
        <v>0</v>
      </c>
      <c r="D17" s="649">
        <v>971175.4800000001</v>
      </c>
      <c r="E17" s="649">
        <v>3084780.0200000005</v>
      </c>
      <c r="F17" s="649">
        <v>4163631.4300000011</v>
      </c>
      <c r="G17" s="649">
        <v>490854.48999999993</v>
      </c>
      <c r="H17" s="649">
        <f t="shared" si="0"/>
        <v>8710441.4200000018</v>
      </c>
    </row>
    <row r="18" spans="1:8">
      <c r="A18" s="482">
        <v>11</v>
      </c>
      <c r="B18" s="483" t="s">
        <v>70</v>
      </c>
      <c r="C18" s="649">
        <v>0</v>
      </c>
      <c r="D18" s="649">
        <v>506603.08000000013</v>
      </c>
      <c r="E18" s="649">
        <v>6402982.2399999984</v>
      </c>
      <c r="F18" s="649">
        <v>34521514.489999965</v>
      </c>
      <c r="G18" s="649">
        <v>0</v>
      </c>
      <c r="H18" s="649">
        <f t="shared" si="0"/>
        <v>41431099.809999965</v>
      </c>
    </row>
    <row r="19" spans="1:8">
      <c r="A19" s="482">
        <v>12</v>
      </c>
      <c r="B19" s="483" t="s">
        <v>71</v>
      </c>
      <c r="C19" s="649">
        <v>0</v>
      </c>
      <c r="D19" s="649">
        <v>0</v>
      </c>
      <c r="E19" s="649">
        <v>0</v>
      </c>
      <c r="F19" s="649">
        <v>0</v>
      </c>
      <c r="G19" s="649">
        <v>0</v>
      </c>
      <c r="H19" s="649">
        <f t="shared" si="0"/>
        <v>0</v>
      </c>
    </row>
    <row r="20" spans="1:8">
      <c r="A20" s="486">
        <v>13</v>
      </c>
      <c r="B20" s="485" t="s">
        <v>72</v>
      </c>
      <c r="C20" s="649">
        <v>0</v>
      </c>
      <c r="D20" s="649">
        <v>0</v>
      </c>
      <c r="E20" s="649">
        <v>0</v>
      </c>
      <c r="F20" s="649">
        <v>0</v>
      </c>
      <c r="G20" s="649">
        <v>0</v>
      </c>
      <c r="H20" s="649">
        <f t="shared" si="0"/>
        <v>0</v>
      </c>
    </row>
    <row r="21" spans="1:8">
      <c r="A21" s="482">
        <v>14</v>
      </c>
      <c r="B21" s="483" t="s">
        <v>540</v>
      </c>
      <c r="C21" s="649">
        <v>46789534.200000018</v>
      </c>
      <c r="D21" s="649">
        <v>0</v>
      </c>
      <c r="E21" s="649">
        <v>0</v>
      </c>
      <c r="F21" s="649">
        <v>7184282.943</v>
      </c>
      <c r="G21" s="649">
        <v>26411649.31000001</v>
      </c>
      <c r="H21" s="649">
        <f t="shared" si="0"/>
        <v>80385466.453000039</v>
      </c>
    </row>
    <row r="22" spans="1:8">
      <c r="A22" s="487">
        <v>15</v>
      </c>
      <c r="B22" s="484" t="s">
        <v>68</v>
      </c>
      <c r="C22" s="649">
        <f>SUM(C18:C21)+SUM(C8:C16)</f>
        <v>240422374.73000002</v>
      </c>
      <c r="D22" s="649">
        <f t="shared" ref="D22:G22" si="1">SUM(D18:D21)+SUM(D8:D16)</f>
        <v>179213136.62999785</v>
      </c>
      <c r="E22" s="649">
        <f t="shared" si="1"/>
        <v>345237745.61000037</v>
      </c>
      <c r="F22" s="649">
        <f t="shared" si="1"/>
        <v>535846461.07299989</v>
      </c>
      <c r="G22" s="649">
        <f t="shared" si="1"/>
        <v>26915240.840000011</v>
      </c>
      <c r="H22" s="649">
        <f>SUM(H18:H21)+SUM(H8:H16)</f>
        <v>1327634958.8829985</v>
      </c>
    </row>
    <row r="26" spans="1:8" ht="38.25">
      <c r="B26" s="552" t="s">
        <v>710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85" zoomScaleNormal="85" workbookViewId="0">
      <selection activeCell="A8" sqref="A8"/>
    </sheetView>
  </sheetViews>
  <sheetFormatPr defaultColWidth="9.140625" defaultRowHeight="12.75"/>
  <cols>
    <col min="1" max="1" width="11.85546875" style="488" bestFit="1" customWidth="1"/>
    <col min="2" max="2" width="114.7109375" style="477" customWidth="1"/>
    <col min="3" max="3" width="22.42578125" style="477" customWidth="1"/>
    <col min="4" max="4" width="23.5703125" style="477" customWidth="1"/>
    <col min="5" max="7" width="22.140625" style="499" customWidth="1"/>
    <col min="8" max="8" width="22.140625" style="477" customWidth="1"/>
    <col min="9" max="9" width="41.42578125" style="477" customWidth="1"/>
    <col min="10" max="16384" width="9.140625" style="477"/>
  </cols>
  <sheetData>
    <row r="1" spans="1:9">
      <c r="A1" s="476" t="s">
        <v>188</v>
      </c>
      <c r="E1" s="477"/>
      <c r="F1" s="477"/>
      <c r="G1" s="477"/>
    </row>
    <row r="2" spans="1:9">
      <c r="A2" s="478" t="s">
        <v>189</v>
      </c>
      <c r="E2" s="477"/>
      <c r="F2" s="477"/>
      <c r="G2" s="477"/>
    </row>
    <row r="3" spans="1:9">
      <c r="A3" s="479" t="s">
        <v>541</v>
      </c>
      <c r="B3" s="480">
        <f>'1. key ratios'!B2</f>
        <v>44377</v>
      </c>
      <c r="E3" s="477"/>
      <c r="F3" s="477"/>
      <c r="G3" s="477"/>
    </row>
    <row r="4" spans="1:9">
      <c r="C4" s="489" t="s">
        <v>542</v>
      </c>
      <c r="D4" s="489" t="s">
        <v>543</v>
      </c>
      <c r="E4" s="489" t="s">
        <v>544</v>
      </c>
      <c r="F4" s="489" t="s">
        <v>545</v>
      </c>
      <c r="G4" s="489" t="s">
        <v>546</v>
      </c>
      <c r="H4" s="489" t="s">
        <v>547</v>
      </c>
      <c r="I4" s="489" t="s">
        <v>548</v>
      </c>
    </row>
    <row r="5" spans="1:9" ht="33.950000000000003" customHeight="1">
      <c r="A5" s="721" t="s">
        <v>551</v>
      </c>
      <c r="B5" s="722"/>
      <c r="C5" s="735" t="s">
        <v>552</v>
      </c>
      <c r="D5" s="735"/>
      <c r="E5" s="735" t="s">
        <v>553</v>
      </c>
      <c r="F5" s="735" t="s">
        <v>554</v>
      </c>
      <c r="G5" s="733" t="s">
        <v>555</v>
      </c>
      <c r="H5" s="733" t="s">
        <v>556</v>
      </c>
      <c r="I5" s="490" t="s">
        <v>557</v>
      </c>
    </row>
    <row r="6" spans="1:9" ht="38.25">
      <c r="A6" s="725"/>
      <c r="B6" s="726"/>
      <c r="C6" s="541" t="s">
        <v>558</v>
      </c>
      <c r="D6" s="541" t="s">
        <v>559</v>
      </c>
      <c r="E6" s="735"/>
      <c r="F6" s="735"/>
      <c r="G6" s="734"/>
      <c r="H6" s="734"/>
      <c r="I6" s="490" t="s">
        <v>560</v>
      </c>
    </row>
    <row r="7" spans="1:9">
      <c r="A7" s="491">
        <v>1</v>
      </c>
      <c r="B7" s="483" t="s">
        <v>216</v>
      </c>
      <c r="C7" s="650">
        <v>0</v>
      </c>
      <c r="D7" s="650">
        <v>293570062.08999991</v>
      </c>
      <c r="E7" s="651">
        <v>0</v>
      </c>
      <c r="F7" s="651">
        <v>0</v>
      </c>
      <c r="G7" s="651">
        <v>0</v>
      </c>
      <c r="H7" s="650">
        <v>0</v>
      </c>
      <c r="I7" s="652">
        <f t="shared" ref="I7:I23" si="0">C7+D7-E7-F7-G7</f>
        <v>293570062.08999991</v>
      </c>
    </row>
    <row r="8" spans="1:9">
      <c r="A8" s="491">
        <v>2</v>
      </c>
      <c r="B8" s="483" t="s">
        <v>217</v>
      </c>
      <c r="C8" s="650">
        <v>0</v>
      </c>
      <c r="D8" s="650">
        <v>0</v>
      </c>
      <c r="E8" s="651">
        <v>0</v>
      </c>
      <c r="F8" s="651">
        <v>0</v>
      </c>
      <c r="G8" s="651">
        <v>0</v>
      </c>
      <c r="H8" s="650">
        <v>0</v>
      </c>
      <c r="I8" s="652">
        <f t="shared" si="0"/>
        <v>0</v>
      </c>
    </row>
    <row r="9" spans="1:9">
      <c r="A9" s="491">
        <v>3</v>
      </c>
      <c r="B9" s="483" t="s">
        <v>218</v>
      </c>
      <c r="C9" s="650">
        <v>0</v>
      </c>
      <c r="D9" s="650">
        <v>0</v>
      </c>
      <c r="E9" s="651">
        <v>0</v>
      </c>
      <c r="F9" s="651">
        <v>0</v>
      </c>
      <c r="G9" s="651">
        <v>0</v>
      </c>
      <c r="H9" s="650">
        <v>0</v>
      </c>
      <c r="I9" s="652">
        <f t="shared" si="0"/>
        <v>0</v>
      </c>
    </row>
    <row r="10" spans="1:9">
      <c r="A10" s="491">
        <v>4</v>
      </c>
      <c r="B10" s="483" t="s">
        <v>219</v>
      </c>
      <c r="C10" s="650">
        <v>0</v>
      </c>
      <c r="D10" s="650">
        <v>0</v>
      </c>
      <c r="E10" s="651">
        <v>0</v>
      </c>
      <c r="F10" s="651">
        <v>0</v>
      </c>
      <c r="G10" s="651">
        <v>0</v>
      </c>
      <c r="H10" s="650">
        <v>0</v>
      </c>
      <c r="I10" s="652">
        <f t="shared" si="0"/>
        <v>0</v>
      </c>
    </row>
    <row r="11" spans="1:9">
      <c r="A11" s="491">
        <v>5</v>
      </c>
      <c r="B11" s="483" t="s">
        <v>220</v>
      </c>
      <c r="C11" s="650">
        <v>0</v>
      </c>
      <c r="D11" s="650">
        <v>0</v>
      </c>
      <c r="E11" s="651">
        <v>0</v>
      </c>
      <c r="F11" s="651">
        <v>0</v>
      </c>
      <c r="G11" s="651">
        <v>0</v>
      </c>
      <c r="H11" s="650">
        <v>0</v>
      </c>
      <c r="I11" s="652">
        <f t="shared" si="0"/>
        <v>0</v>
      </c>
    </row>
    <row r="12" spans="1:9">
      <c r="A12" s="491">
        <v>6</v>
      </c>
      <c r="B12" s="483" t="s">
        <v>221</v>
      </c>
      <c r="C12" s="650">
        <v>76681.67</v>
      </c>
      <c r="D12" s="650">
        <v>23184269.640000004</v>
      </c>
      <c r="E12" s="651">
        <v>76681.67</v>
      </c>
      <c r="F12" s="651">
        <v>0</v>
      </c>
      <c r="G12" s="651">
        <v>0</v>
      </c>
      <c r="H12" s="650">
        <v>0</v>
      </c>
      <c r="I12" s="652">
        <f t="shared" si="0"/>
        <v>23184269.640000004</v>
      </c>
    </row>
    <row r="13" spans="1:9">
      <c r="A13" s="491">
        <v>7</v>
      </c>
      <c r="B13" s="483" t="s">
        <v>73</v>
      </c>
      <c r="C13" s="650">
        <v>8932159.290000001</v>
      </c>
      <c r="D13" s="650">
        <v>485799341.86999977</v>
      </c>
      <c r="E13" s="651">
        <v>10770074.015600061</v>
      </c>
      <c r="F13" s="651">
        <v>7765961.4085999997</v>
      </c>
      <c r="G13" s="651">
        <v>0</v>
      </c>
      <c r="H13" s="650">
        <v>0</v>
      </c>
      <c r="I13" s="652">
        <f t="shared" si="0"/>
        <v>476195465.73579973</v>
      </c>
    </row>
    <row r="14" spans="1:9">
      <c r="A14" s="491">
        <v>8</v>
      </c>
      <c r="B14" s="485" t="s">
        <v>74</v>
      </c>
      <c r="C14" s="650">
        <v>48494661.279999986</v>
      </c>
      <c r="D14" s="650">
        <v>262035718.33999884</v>
      </c>
      <c r="E14" s="651">
        <v>25691008.249199953</v>
      </c>
      <c r="F14" s="651">
        <v>4343235.4752000198</v>
      </c>
      <c r="G14" s="651">
        <v>0</v>
      </c>
      <c r="H14" s="650">
        <v>846522.57999999984</v>
      </c>
      <c r="I14" s="652">
        <f t="shared" si="0"/>
        <v>280496135.89559889</v>
      </c>
    </row>
    <row r="15" spans="1:9">
      <c r="A15" s="491">
        <v>9</v>
      </c>
      <c r="B15" s="483" t="s">
        <v>75</v>
      </c>
      <c r="C15" s="650">
        <v>7256775.5699999984</v>
      </c>
      <c r="D15" s="650">
        <v>113428588.74999997</v>
      </c>
      <c r="E15" s="651">
        <v>422008.30519999989</v>
      </c>
      <c r="F15" s="651">
        <v>1991698.9812000003</v>
      </c>
      <c r="G15" s="651">
        <v>0</v>
      </c>
      <c r="H15" s="650">
        <v>0</v>
      </c>
      <c r="I15" s="652">
        <f t="shared" si="0"/>
        <v>118271657.03359997</v>
      </c>
    </row>
    <row r="16" spans="1:9">
      <c r="A16" s="491">
        <v>10</v>
      </c>
      <c r="B16" s="553" t="s">
        <v>561</v>
      </c>
      <c r="C16" s="650">
        <v>16754122.920000006</v>
      </c>
      <c r="D16" s="650">
        <v>34.950000000000003</v>
      </c>
      <c r="E16" s="651">
        <v>8043716.4000000013</v>
      </c>
      <c r="F16" s="651">
        <v>0</v>
      </c>
      <c r="G16" s="651">
        <v>0</v>
      </c>
      <c r="H16" s="650">
        <v>777814.08450000023</v>
      </c>
      <c r="I16" s="652">
        <f t="shared" si="0"/>
        <v>8710441.4700000025</v>
      </c>
    </row>
    <row r="17" spans="1:9">
      <c r="A17" s="491">
        <v>11</v>
      </c>
      <c r="B17" s="483" t="s">
        <v>70</v>
      </c>
      <c r="C17" s="650">
        <v>47440.45</v>
      </c>
      <c r="D17" s="650">
        <v>41405676.299999416</v>
      </c>
      <c r="E17" s="651">
        <v>22110.579999999998</v>
      </c>
      <c r="F17" s="651">
        <v>810657.14499999839</v>
      </c>
      <c r="G17" s="651">
        <v>0</v>
      </c>
      <c r="H17" s="650">
        <v>43132.05</v>
      </c>
      <c r="I17" s="652">
        <f t="shared" si="0"/>
        <v>40620349.024999425</v>
      </c>
    </row>
    <row r="18" spans="1:9">
      <c r="A18" s="491">
        <v>12</v>
      </c>
      <c r="B18" s="483" t="s">
        <v>71</v>
      </c>
      <c r="C18" s="650">
        <v>0</v>
      </c>
      <c r="D18" s="650">
        <v>0</v>
      </c>
      <c r="E18" s="651">
        <v>0</v>
      </c>
      <c r="F18" s="651">
        <v>0</v>
      </c>
      <c r="G18" s="651">
        <v>0</v>
      </c>
      <c r="H18" s="650">
        <v>0</v>
      </c>
      <c r="I18" s="652">
        <f t="shared" si="0"/>
        <v>0</v>
      </c>
    </row>
    <row r="19" spans="1:9">
      <c r="A19" s="494">
        <v>13</v>
      </c>
      <c r="B19" s="485" t="s">
        <v>72</v>
      </c>
      <c r="C19" s="650">
        <v>0</v>
      </c>
      <c r="D19" s="650">
        <v>0</v>
      </c>
      <c r="E19" s="651">
        <v>0</v>
      </c>
      <c r="F19" s="651">
        <v>0</v>
      </c>
      <c r="G19" s="651">
        <v>0</v>
      </c>
      <c r="H19" s="650">
        <v>0</v>
      </c>
      <c r="I19" s="652">
        <f t="shared" si="0"/>
        <v>0</v>
      </c>
    </row>
    <row r="20" spans="1:9">
      <c r="A20" s="491">
        <v>14</v>
      </c>
      <c r="B20" s="483" t="s">
        <v>540</v>
      </c>
      <c r="C20" s="650">
        <v>29377060.550000019</v>
      </c>
      <c r="D20" s="650">
        <v>100423563.41500004</v>
      </c>
      <c r="E20" s="651">
        <v>26427478.715000015</v>
      </c>
      <c r="F20" s="651">
        <v>0</v>
      </c>
      <c r="G20" s="651">
        <v>0</v>
      </c>
      <c r="H20" s="650">
        <v>0</v>
      </c>
      <c r="I20" s="652">
        <f t="shared" si="0"/>
        <v>103373145.25000004</v>
      </c>
    </row>
    <row r="21" spans="1:9" s="496" customFormat="1">
      <c r="A21" s="495">
        <v>15</v>
      </c>
      <c r="B21" s="484" t="s">
        <v>68</v>
      </c>
      <c r="C21" s="649">
        <f>SUM(C7:C15)+SUM(C17:C20)</f>
        <v>94184778.810000002</v>
      </c>
      <c r="D21" s="649">
        <f t="shared" ref="D21:H21" si="1">SUM(D7:D15)+SUM(D17:D20)</f>
        <v>1319847220.4049978</v>
      </c>
      <c r="E21" s="649">
        <f t="shared" si="1"/>
        <v>63409361.535000026</v>
      </c>
      <c r="F21" s="649">
        <f t="shared" si="1"/>
        <v>14911553.010000017</v>
      </c>
      <c r="G21" s="649">
        <v>1621297.71</v>
      </c>
      <c r="H21" s="649">
        <f t="shared" si="1"/>
        <v>889654.62999999989</v>
      </c>
      <c r="I21" s="652">
        <f t="shared" si="0"/>
        <v>1334089786.9599977</v>
      </c>
    </row>
    <row r="22" spans="1:9">
      <c r="A22" s="497">
        <v>16</v>
      </c>
      <c r="B22" s="498" t="s">
        <v>562</v>
      </c>
      <c r="C22" s="650">
        <v>64731036.589999989</v>
      </c>
      <c r="D22" s="650">
        <v>897377297.85999811</v>
      </c>
      <c r="E22" s="651">
        <v>36905201.150000013</v>
      </c>
      <c r="F22" s="651">
        <v>14811553.010000017</v>
      </c>
      <c r="G22" s="651">
        <v>1621297.71</v>
      </c>
      <c r="H22" s="650">
        <v>889654.62999999977</v>
      </c>
      <c r="I22" s="652">
        <f t="shared" si="0"/>
        <v>908770282.57999814</v>
      </c>
    </row>
    <row r="23" spans="1:9">
      <c r="A23" s="497">
        <v>17</v>
      </c>
      <c r="B23" s="498" t="s">
        <v>563</v>
      </c>
      <c r="C23" s="650">
        <v>0</v>
      </c>
      <c r="D23" s="650">
        <v>123730713.31</v>
      </c>
      <c r="E23" s="651">
        <v>0</v>
      </c>
      <c r="F23" s="651">
        <v>100000</v>
      </c>
      <c r="G23" s="651">
        <v>0</v>
      </c>
      <c r="H23" s="650">
        <v>0</v>
      </c>
      <c r="I23" s="652">
        <f t="shared" si="0"/>
        <v>123630713.31</v>
      </c>
    </row>
    <row r="26" spans="1:9" ht="42.6" customHeight="1">
      <c r="B26" s="552" t="s">
        <v>710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3" zoomScale="90" zoomScaleNormal="90" workbookViewId="0">
      <selection activeCell="E23" sqref="E23"/>
    </sheetView>
  </sheetViews>
  <sheetFormatPr defaultColWidth="9.140625" defaultRowHeight="12.75"/>
  <cols>
    <col min="1" max="1" width="11" style="477" bestFit="1" customWidth="1"/>
    <col min="2" max="2" width="93.42578125" style="477" customWidth="1"/>
    <col min="3" max="8" width="22" style="477" customWidth="1"/>
    <col min="9" max="9" width="42.28515625" style="477" bestFit="1" customWidth="1"/>
    <col min="10" max="16384" width="9.140625" style="477"/>
  </cols>
  <sheetData>
    <row r="1" spans="1:9">
      <c r="A1" s="476" t="s">
        <v>188</v>
      </c>
    </row>
    <row r="2" spans="1:9">
      <c r="A2" s="478" t="s">
        <v>189</v>
      </c>
    </row>
    <row r="3" spans="1:9">
      <c r="A3" s="479" t="s">
        <v>564</v>
      </c>
      <c r="B3" s="480">
        <f>'1. key ratios'!B2</f>
        <v>44377</v>
      </c>
    </row>
    <row r="4" spans="1:9">
      <c r="C4" s="489" t="s">
        <v>542</v>
      </c>
      <c r="D4" s="489" t="s">
        <v>543</v>
      </c>
      <c r="E4" s="489" t="s">
        <v>544</v>
      </c>
      <c r="F4" s="489" t="s">
        <v>545</v>
      </c>
      <c r="G4" s="489" t="s">
        <v>546</v>
      </c>
      <c r="H4" s="489" t="s">
        <v>547</v>
      </c>
      <c r="I4" s="489" t="s">
        <v>548</v>
      </c>
    </row>
    <row r="5" spans="1:9" ht="41.45" customHeight="1">
      <c r="A5" s="721" t="s">
        <v>714</v>
      </c>
      <c r="B5" s="722"/>
      <c r="C5" s="735" t="s">
        <v>552</v>
      </c>
      <c r="D5" s="735"/>
      <c r="E5" s="735" t="s">
        <v>553</v>
      </c>
      <c r="F5" s="735" t="s">
        <v>554</v>
      </c>
      <c r="G5" s="733" t="s">
        <v>555</v>
      </c>
      <c r="H5" s="733" t="s">
        <v>556</v>
      </c>
      <c r="I5" s="490" t="s">
        <v>557</v>
      </c>
    </row>
    <row r="6" spans="1:9" ht="41.45" customHeight="1">
      <c r="A6" s="725"/>
      <c r="B6" s="726"/>
      <c r="C6" s="541" t="s">
        <v>558</v>
      </c>
      <c r="D6" s="541" t="s">
        <v>559</v>
      </c>
      <c r="E6" s="735"/>
      <c r="F6" s="735"/>
      <c r="G6" s="734"/>
      <c r="H6" s="734"/>
      <c r="I6" s="490" t="s">
        <v>560</v>
      </c>
    </row>
    <row r="7" spans="1:9">
      <c r="A7" s="492">
        <v>1</v>
      </c>
      <c r="B7" s="500" t="s">
        <v>565</v>
      </c>
      <c r="C7" s="650">
        <v>3384525.1371999998</v>
      </c>
      <c r="D7" s="650">
        <v>358460136.03380001</v>
      </c>
      <c r="E7" s="650">
        <v>1513794.384000001</v>
      </c>
      <c r="F7" s="650">
        <v>1236541.5763999936</v>
      </c>
      <c r="G7" s="650">
        <v>0</v>
      </c>
      <c r="H7" s="650">
        <v>116368.2025</v>
      </c>
      <c r="I7" s="652">
        <f t="shared" ref="I7:I34" si="0">C7+D7-E7-F7-G7</f>
        <v>359094325.21060002</v>
      </c>
    </row>
    <row r="8" spans="1:9">
      <c r="A8" s="492">
        <v>2</v>
      </c>
      <c r="B8" s="500" t="s">
        <v>566</v>
      </c>
      <c r="C8" s="650">
        <v>1016554.0296</v>
      </c>
      <c r="D8" s="650">
        <v>58312318.115800023</v>
      </c>
      <c r="E8" s="650">
        <v>545839.1128</v>
      </c>
      <c r="F8" s="650">
        <v>676502.95369999995</v>
      </c>
      <c r="G8" s="650">
        <v>0</v>
      </c>
      <c r="H8" s="650">
        <v>6233.11</v>
      </c>
      <c r="I8" s="652">
        <f t="shared" si="0"/>
        <v>58106530.078900024</v>
      </c>
    </row>
    <row r="9" spans="1:9">
      <c r="A9" s="492">
        <v>3</v>
      </c>
      <c r="B9" s="500" t="s">
        <v>567</v>
      </c>
      <c r="C9" s="650">
        <v>0</v>
      </c>
      <c r="D9" s="650">
        <v>23592101.9791</v>
      </c>
      <c r="E9" s="650">
        <v>7878.4382999999998</v>
      </c>
      <c r="F9" s="650">
        <v>469851.03089999995</v>
      </c>
      <c r="G9" s="650">
        <v>0</v>
      </c>
      <c r="H9" s="650">
        <v>0</v>
      </c>
      <c r="I9" s="652">
        <f t="shared" si="0"/>
        <v>23114372.5099</v>
      </c>
    </row>
    <row r="10" spans="1:9">
      <c r="A10" s="492">
        <v>4</v>
      </c>
      <c r="B10" s="500" t="s">
        <v>568</v>
      </c>
      <c r="C10" s="650">
        <v>182298.7072</v>
      </c>
      <c r="D10" s="650">
        <v>74390739.943599984</v>
      </c>
      <c r="E10" s="650">
        <v>1148651.6008000001</v>
      </c>
      <c r="F10" s="650">
        <v>1253102.2564000001</v>
      </c>
      <c r="G10" s="650">
        <v>0</v>
      </c>
      <c r="H10" s="650">
        <v>0</v>
      </c>
      <c r="I10" s="652">
        <f t="shared" si="0"/>
        <v>72171284.793599978</v>
      </c>
    </row>
    <row r="11" spans="1:9">
      <c r="A11" s="492">
        <v>5</v>
      </c>
      <c r="B11" s="500" t="s">
        <v>569</v>
      </c>
      <c r="C11" s="650">
        <v>9080890.0744000003</v>
      </c>
      <c r="D11" s="650">
        <v>80868221.688199997</v>
      </c>
      <c r="E11" s="650">
        <v>5613142.5877999999</v>
      </c>
      <c r="F11" s="650">
        <v>1115511.3715000004</v>
      </c>
      <c r="G11" s="650">
        <v>0</v>
      </c>
      <c r="H11" s="650">
        <v>0</v>
      </c>
      <c r="I11" s="652">
        <f t="shared" si="0"/>
        <v>83220457.803300008</v>
      </c>
    </row>
    <row r="12" spans="1:9">
      <c r="A12" s="492">
        <v>6</v>
      </c>
      <c r="B12" s="500" t="s">
        <v>570</v>
      </c>
      <c r="C12" s="650">
        <v>881839.25860000006</v>
      </c>
      <c r="D12" s="650">
        <v>35308822.510200001</v>
      </c>
      <c r="E12" s="650">
        <v>693071.56729999988</v>
      </c>
      <c r="F12" s="650">
        <v>635730.15220000013</v>
      </c>
      <c r="G12" s="650">
        <v>0</v>
      </c>
      <c r="H12" s="650">
        <v>0</v>
      </c>
      <c r="I12" s="652">
        <f t="shared" si="0"/>
        <v>34861860.0493</v>
      </c>
    </row>
    <row r="13" spans="1:9">
      <c r="A13" s="492">
        <v>7</v>
      </c>
      <c r="B13" s="500" t="s">
        <v>571</v>
      </c>
      <c r="C13" s="650">
        <v>0</v>
      </c>
      <c r="D13" s="650">
        <v>38698821.832199983</v>
      </c>
      <c r="E13" s="650">
        <v>154007.16209999999</v>
      </c>
      <c r="F13" s="650">
        <v>739795.6525999998</v>
      </c>
      <c r="G13" s="650">
        <v>0</v>
      </c>
      <c r="H13" s="650">
        <v>0</v>
      </c>
      <c r="I13" s="652">
        <f t="shared" si="0"/>
        <v>37805019.017499983</v>
      </c>
    </row>
    <row r="14" spans="1:9">
      <c r="A14" s="492">
        <v>8</v>
      </c>
      <c r="B14" s="500" t="s">
        <v>572</v>
      </c>
      <c r="C14" s="650">
        <v>2084098.8994000002</v>
      </c>
      <c r="D14" s="650">
        <v>54611498.554299995</v>
      </c>
      <c r="E14" s="650">
        <v>938827.61250000016</v>
      </c>
      <c r="F14" s="650">
        <v>1039729.3096000005</v>
      </c>
      <c r="G14" s="650">
        <v>0</v>
      </c>
      <c r="H14" s="650">
        <v>0</v>
      </c>
      <c r="I14" s="652">
        <f t="shared" si="0"/>
        <v>54717040.531599998</v>
      </c>
    </row>
    <row r="15" spans="1:9">
      <c r="A15" s="492">
        <v>9</v>
      </c>
      <c r="B15" s="500" t="s">
        <v>573</v>
      </c>
      <c r="C15" s="650">
        <v>40000</v>
      </c>
      <c r="D15" s="650">
        <v>28888876.4366</v>
      </c>
      <c r="E15" s="650">
        <v>216035.68540000002</v>
      </c>
      <c r="F15" s="650">
        <v>539995.99599999993</v>
      </c>
      <c r="G15" s="650">
        <v>0</v>
      </c>
      <c r="H15" s="650">
        <v>0</v>
      </c>
      <c r="I15" s="652">
        <f t="shared" si="0"/>
        <v>28172844.755199999</v>
      </c>
    </row>
    <row r="16" spans="1:9">
      <c r="A16" s="492">
        <v>10</v>
      </c>
      <c r="B16" s="500" t="s">
        <v>574</v>
      </c>
      <c r="C16" s="650">
        <v>79511.95</v>
      </c>
      <c r="D16" s="650">
        <v>11094399.628999997</v>
      </c>
      <c r="E16" s="650">
        <v>234905.91149999999</v>
      </c>
      <c r="F16" s="650">
        <v>178500.27850000001</v>
      </c>
      <c r="G16" s="650">
        <v>0</v>
      </c>
      <c r="H16" s="650">
        <v>0</v>
      </c>
      <c r="I16" s="652">
        <f t="shared" si="0"/>
        <v>10760505.388999997</v>
      </c>
    </row>
    <row r="17" spans="1:10">
      <c r="A17" s="492">
        <v>11</v>
      </c>
      <c r="B17" s="500" t="s">
        <v>575</v>
      </c>
      <c r="C17" s="650">
        <v>1357260.6993</v>
      </c>
      <c r="D17" s="650">
        <v>5841358.8282000003</v>
      </c>
      <c r="E17" s="650">
        <v>662002.44309999992</v>
      </c>
      <c r="F17" s="650">
        <v>96730.549199999979</v>
      </c>
      <c r="G17" s="650">
        <v>0</v>
      </c>
      <c r="H17" s="650">
        <v>0</v>
      </c>
      <c r="I17" s="652">
        <f t="shared" si="0"/>
        <v>6439886.5351999998</v>
      </c>
    </row>
    <row r="18" spans="1:10">
      <c r="A18" s="492">
        <v>12</v>
      </c>
      <c r="B18" s="500" t="s">
        <v>576</v>
      </c>
      <c r="C18" s="650">
        <v>7712292.8987000007</v>
      </c>
      <c r="D18" s="650">
        <v>60952810.450899988</v>
      </c>
      <c r="E18" s="650">
        <v>4262198.8202999998</v>
      </c>
      <c r="F18" s="650">
        <v>974140.44399999944</v>
      </c>
      <c r="G18" s="650">
        <v>0</v>
      </c>
      <c r="H18" s="650">
        <v>384061.26639999996</v>
      </c>
      <c r="I18" s="652">
        <f t="shared" si="0"/>
        <v>63428764.085299991</v>
      </c>
    </row>
    <row r="19" spans="1:10">
      <c r="A19" s="492">
        <v>13</v>
      </c>
      <c r="B19" s="500" t="s">
        <v>577</v>
      </c>
      <c r="C19" s="650">
        <v>819445.92320000008</v>
      </c>
      <c r="D19" s="650">
        <v>18544641.160799999</v>
      </c>
      <c r="E19" s="650">
        <v>541648.93120000011</v>
      </c>
      <c r="F19" s="650">
        <v>334141.41279999999</v>
      </c>
      <c r="G19" s="650">
        <v>0</v>
      </c>
      <c r="H19" s="650">
        <v>0</v>
      </c>
      <c r="I19" s="652">
        <f t="shared" si="0"/>
        <v>18488296.739999998</v>
      </c>
    </row>
    <row r="20" spans="1:10">
      <c r="A20" s="492">
        <v>14</v>
      </c>
      <c r="B20" s="500" t="s">
        <v>578</v>
      </c>
      <c r="C20" s="650">
        <v>6546546.064199999</v>
      </c>
      <c r="D20" s="650">
        <v>82895155.644600004</v>
      </c>
      <c r="E20" s="650">
        <v>5020852.4727000026</v>
      </c>
      <c r="F20" s="650">
        <v>1060264.3444000001</v>
      </c>
      <c r="G20" s="650">
        <v>0</v>
      </c>
      <c r="H20" s="650">
        <v>0</v>
      </c>
      <c r="I20" s="652">
        <f t="shared" si="0"/>
        <v>83360584.8917</v>
      </c>
    </row>
    <row r="21" spans="1:10">
      <c r="A21" s="492">
        <v>15</v>
      </c>
      <c r="B21" s="500" t="s">
        <v>579</v>
      </c>
      <c r="C21" s="650">
        <v>4501446.0449999999</v>
      </c>
      <c r="D21" s="650">
        <v>34138275.417599984</v>
      </c>
      <c r="E21" s="650">
        <v>3162728.1818000004</v>
      </c>
      <c r="F21" s="650">
        <v>317495.49029999989</v>
      </c>
      <c r="G21" s="650">
        <v>0</v>
      </c>
      <c r="H21" s="650">
        <v>0</v>
      </c>
      <c r="I21" s="652">
        <f t="shared" si="0"/>
        <v>35159497.790499985</v>
      </c>
    </row>
    <row r="22" spans="1:10">
      <c r="A22" s="492">
        <v>16</v>
      </c>
      <c r="B22" s="500" t="s">
        <v>580</v>
      </c>
      <c r="C22" s="650">
        <v>0</v>
      </c>
      <c r="D22" s="650">
        <v>1051580.716</v>
      </c>
      <c r="E22" s="650">
        <v>0</v>
      </c>
      <c r="F22" s="650">
        <v>20877.659799999994</v>
      </c>
      <c r="G22" s="650">
        <v>0</v>
      </c>
      <c r="H22" s="650">
        <v>0</v>
      </c>
      <c r="I22" s="652">
        <f t="shared" si="0"/>
        <v>1030703.0562</v>
      </c>
    </row>
    <row r="23" spans="1:10">
      <c r="A23" s="492">
        <v>17</v>
      </c>
      <c r="B23" s="500" t="s">
        <v>581</v>
      </c>
      <c r="C23" s="650">
        <v>1948225.3691</v>
      </c>
      <c r="D23" s="650">
        <v>3307880.4446000005</v>
      </c>
      <c r="E23" s="650">
        <v>802884.92430000019</v>
      </c>
      <c r="F23" s="650">
        <v>38231.431500000006</v>
      </c>
      <c r="G23" s="650">
        <v>0</v>
      </c>
      <c r="H23" s="650">
        <v>0</v>
      </c>
      <c r="I23" s="652">
        <f t="shared" si="0"/>
        <v>4414989.4579000007</v>
      </c>
    </row>
    <row r="24" spans="1:10">
      <c r="A24" s="492">
        <v>18</v>
      </c>
      <c r="B24" s="500" t="s">
        <v>582</v>
      </c>
      <c r="C24" s="650">
        <v>45844.75</v>
      </c>
      <c r="D24" s="650">
        <v>22506312.4384</v>
      </c>
      <c r="E24" s="650">
        <v>13903.7</v>
      </c>
      <c r="F24" s="650">
        <v>411030.16969999997</v>
      </c>
      <c r="G24" s="650">
        <v>0</v>
      </c>
      <c r="H24" s="650">
        <v>0</v>
      </c>
      <c r="I24" s="652">
        <f t="shared" si="0"/>
        <v>22127223.318700001</v>
      </c>
    </row>
    <row r="25" spans="1:10">
      <c r="A25" s="492">
        <v>19</v>
      </c>
      <c r="B25" s="500" t="s">
        <v>583</v>
      </c>
      <c r="C25" s="650">
        <v>36634.595699999998</v>
      </c>
      <c r="D25" s="650">
        <v>6786641.8225000007</v>
      </c>
      <c r="E25" s="650">
        <v>16912.637900000002</v>
      </c>
      <c r="F25" s="650">
        <v>135302.1654</v>
      </c>
      <c r="G25" s="650">
        <v>0</v>
      </c>
      <c r="H25" s="650">
        <v>0</v>
      </c>
      <c r="I25" s="652">
        <f t="shared" si="0"/>
        <v>6671061.6149000004</v>
      </c>
    </row>
    <row r="26" spans="1:10">
      <c r="A26" s="492">
        <v>20</v>
      </c>
      <c r="B26" s="500" t="s">
        <v>584</v>
      </c>
      <c r="C26" s="650">
        <v>712196.2709</v>
      </c>
      <c r="D26" s="650">
        <v>26189174.286800005</v>
      </c>
      <c r="E26" s="650">
        <v>632499.71199999971</v>
      </c>
      <c r="F26" s="650">
        <v>460072.60109999968</v>
      </c>
      <c r="G26" s="650">
        <v>0</v>
      </c>
      <c r="H26" s="650">
        <v>2501.8200000000002</v>
      </c>
      <c r="I26" s="652">
        <f t="shared" si="0"/>
        <v>25808798.244600002</v>
      </c>
      <c r="J26" s="501"/>
    </row>
    <row r="27" spans="1:10">
      <c r="A27" s="492">
        <v>21</v>
      </c>
      <c r="B27" s="500" t="s">
        <v>585</v>
      </c>
      <c r="C27" s="650">
        <v>78748.800000000003</v>
      </c>
      <c r="D27" s="650">
        <v>3145199.5966999996</v>
      </c>
      <c r="E27" s="650">
        <v>64818.44</v>
      </c>
      <c r="F27" s="650">
        <v>60750.555200000003</v>
      </c>
      <c r="G27" s="650">
        <v>0</v>
      </c>
      <c r="H27" s="650">
        <v>0</v>
      </c>
      <c r="I27" s="652">
        <f t="shared" si="0"/>
        <v>3098379.4014999997</v>
      </c>
      <c r="J27" s="501"/>
    </row>
    <row r="28" spans="1:10">
      <c r="A28" s="492">
        <v>22</v>
      </c>
      <c r="B28" s="500" t="s">
        <v>586</v>
      </c>
      <c r="C28" s="650">
        <v>50031.197</v>
      </c>
      <c r="D28" s="650">
        <v>1852466.7043000001</v>
      </c>
      <c r="E28" s="650">
        <v>120274.94700000001</v>
      </c>
      <c r="F28" s="650">
        <v>20804.381899999993</v>
      </c>
      <c r="G28" s="650">
        <v>0</v>
      </c>
      <c r="H28" s="650">
        <v>77664.800000000003</v>
      </c>
      <c r="I28" s="652">
        <f t="shared" si="0"/>
        <v>1761418.5724000002</v>
      </c>
      <c r="J28" s="501"/>
    </row>
    <row r="29" spans="1:10">
      <c r="A29" s="492">
        <v>23</v>
      </c>
      <c r="B29" s="500" t="s">
        <v>587</v>
      </c>
      <c r="C29" s="650">
        <v>9736898.0891000014</v>
      </c>
      <c r="D29" s="650">
        <v>57185977.470299989</v>
      </c>
      <c r="E29" s="650">
        <v>4495403.5065000011</v>
      </c>
      <c r="F29" s="650">
        <v>970757.29689999938</v>
      </c>
      <c r="G29" s="650">
        <v>0</v>
      </c>
      <c r="H29" s="650">
        <v>0</v>
      </c>
      <c r="I29" s="652">
        <f t="shared" si="0"/>
        <v>61456714.755999997</v>
      </c>
      <c r="J29" s="501"/>
    </row>
    <row r="30" spans="1:10">
      <c r="A30" s="492">
        <v>24</v>
      </c>
      <c r="B30" s="500" t="s">
        <v>588</v>
      </c>
      <c r="C30" s="650">
        <v>6460874.4919999996</v>
      </c>
      <c r="D30" s="650">
        <v>67078183.962299943</v>
      </c>
      <c r="E30" s="650">
        <v>2785158.3108999985</v>
      </c>
      <c r="F30" s="650">
        <v>1207526.1642000007</v>
      </c>
      <c r="G30" s="650">
        <v>0</v>
      </c>
      <c r="H30" s="650">
        <v>199130.91930000001</v>
      </c>
      <c r="I30" s="652">
        <f t="shared" si="0"/>
        <v>69546373.979199931</v>
      </c>
      <c r="J30" s="501"/>
    </row>
    <row r="31" spans="1:10">
      <c r="A31" s="492">
        <v>25</v>
      </c>
      <c r="B31" s="500" t="s">
        <v>589</v>
      </c>
      <c r="C31" s="650">
        <v>4916237.8338999972</v>
      </c>
      <c r="D31" s="650">
        <v>49150928.699399956</v>
      </c>
      <c r="E31" s="650">
        <v>1832228.2837999999</v>
      </c>
      <c r="F31" s="650">
        <v>677669.13769999985</v>
      </c>
      <c r="G31" s="650">
        <v>0</v>
      </c>
      <c r="H31" s="650">
        <v>83643.76549999963</v>
      </c>
      <c r="I31" s="652">
        <f t="shared" si="0"/>
        <v>51557269.111799955</v>
      </c>
      <c r="J31" s="501"/>
    </row>
    <row r="32" spans="1:10">
      <c r="A32" s="492">
        <v>26</v>
      </c>
      <c r="B32" s="500" t="s">
        <v>590</v>
      </c>
      <c r="C32" s="650">
        <v>3135223.4800975812</v>
      </c>
      <c r="D32" s="650">
        <v>14571226.209200006</v>
      </c>
      <c r="E32" s="650">
        <v>1502212.8433000001</v>
      </c>
      <c r="F32" s="650">
        <v>240498.8216</v>
      </c>
      <c r="G32" s="650">
        <v>0</v>
      </c>
      <c r="H32" s="650">
        <v>20050.746300000003</v>
      </c>
      <c r="I32" s="652">
        <f t="shared" si="0"/>
        <v>15963738.024397587</v>
      </c>
      <c r="J32" s="501"/>
    </row>
    <row r="33" spans="1:10">
      <c r="A33" s="492">
        <v>27</v>
      </c>
      <c r="B33" s="493" t="s">
        <v>165</v>
      </c>
      <c r="C33" s="650">
        <v>29377154.35000002</v>
      </c>
      <c r="D33" s="650">
        <v>100423469.61500002</v>
      </c>
      <c r="E33" s="650">
        <v>26427478.715000015</v>
      </c>
      <c r="F33" s="650">
        <v>0</v>
      </c>
      <c r="G33" s="650">
        <v>0</v>
      </c>
      <c r="H33" s="650">
        <v>0</v>
      </c>
      <c r="I33" s="652">
        <f t="shared" si="0"/>
        <v>103373145.25000003</v>
      </c>
      <c r="J33" s="501"/>
    </row>
    <row r="34" spans="1:10">
      <c r="A34" s="492">
        <v>28</v>
      </c>
      <c r="B34" s="502" t="s">
        <v>68</v>
      </c>
      <c r="C34" s="649">
        <f>SUM(C7:C33)</f>
        <v>94184778.914597601</v>
      </c>
      <c r="D34" s="649">
        <f t="shared" ref="D34:H34" si="1">SUM(D7:D33)</f>
        <v>1319847220.1903994</v>
      </c>
      <c r="E34" s="649">
        <f t="shared" si="1"/>
        <v>63409360.932300016</v>
      </c>
      <c r="F34" s="649">
        <f t="shared" si="1"/>
        <v>14911553.203499993</v>
      </c>
      <c r="G34" s="649">
        <v>1621297.71</v>
      </c>
      <c r="H34" s="649">
        <f t="shared" si="1"/>
        <v>889654.62999999954</v>
      </c>
      <c r="I34" s="652">
        <f t="shared" si="0"/>
        <v>1334089787.2591968</v>
      </c>
      <c r="J34" s="501"/>
    </row>
    <row r="35" spans="1:10">
      <c r="A35" s="501"/>
      <c r="B35" s="501"/>
      <c r="C35" s="501"/>
      <c r="D35" s="501"/>
      <c r="E35" s="501"/>
      <c r="F35" s="501"/>
      <c r="G35" s="501"/>
      <c r="H35" s="501"/>
      <c r="I35" s="501"/>
      <c r="J35" s="501"/>
    </row>
    <row r="36" spans="1:10">
      <c r="A36" s="501"/>
      <c r="B36" s="503"/>
      <c r="C36" s="501"/>
      <c r="D36" s="501"/>
      <c r="E36" s="501"/>
      <c r="F36" s="501"/>
      <c r="G36" s="501"/>
      <c r="H36" s="501"/>
      <c r="I36" s="501"/>
      <c r="J36" s="501"/>
    </row>
    <row r="37" spans="1:10">
      <c r="A37" s="501"/>
      <c r="B37" s="501"/>
      <c r="C37" s="501"/>
      <c r="D37" s="501"/>
      <c r="E37" s="501"/>
      <c r="F37" s="501"/>
      <c r="G37" s="501"/>
      <c r="H37" s="501"/>
      <c r="I37" s="501"/>
      <c r="J37" s="501"/>
    </row>
    <row r="38" spans="1:10">
      <c r="A38" s="501"/>
      <c r="B38" s="501"/>
      <c r="C38" s="501"/>
      <c r="D38" s="501"/>
      <c r="E38" s="501"/>
      <c r="F38" s="501"/>
      <c r="G38" s="501"/>
      <c r="H38" s="501"/>
      <c r="I38" s="501"/>
      <c r="J38" s="501"/>
    </row>
    <row r="39" spans="1:10">
      <c r="A39" s="501"/>
      <c r="B39" s="501"/>
      <c r="C39" s="501"/>
      <c r="D39" s="501"/>
      <c r="E39" s="501"/>
      <c r="F39" s="501"/>
      <c r="G39" s="501"/>
      <c r="H39" s="501"/>
      <c r="I39" s="501"/>
      <c r="J39" s="501"/>
    </row>
    <row r="40" spans="1:10">
      <c r="A40" s="501"/>
      <c r="B40" s="501"/>
      <c r="C40" s="501"/>
      <c r="D40" s="501"/>
      <c r="E40" s="501"/>
      <c r="F40" s="501"/>
      <c r="G40" s="501"/>
      <c r="H40" s="501"/>
      <c r="I40" s="501"/>
      <c r="J40" s="501"/>
    </row>
    <row r="41" spans="1:10">
      <c r="A41" s="501"/>
      <c r="B41" s="501"/>
      <c r="C41" s="501"/>
      <c r="D41" s="501"/>
      <c r="E41" s="501"/>
      <c r="F41" s="501"/>
      <c r="G41" s="501"/>
      <c r="H41" s="501"/>
      <c r="I41" s="501"/>
      <c r="J41" s="501"/>
    </row>
    <row r="42" spans="1:10">
      <c r="A42" s="504"/>
      <c r="B42" s="504"/>
      <c r="C42" s="501"/>
      <c r="D42" s="501"/>
      <c r="E42" s="501"/>
      <c r="F42" s="501"/>
      <c r="G42" s="501"/>
      <c r="H42" s="501"/>
      <c r="I42" s="501"/>
      <c r="J42" s="501"/>
    </row>
    <row r="43" spans="1:10">
      <c r="A43" s="504"/>
      <c r="B43" s="504"/>
      <c r="C43" s="501"/>
      <c r="D43" s="501"/>
      <c r="E43" s="501"/>
      <c r="F43" s="501"/>
      <c r="G43" s="501"/>
      <c r="H43" s="501"/>
      <c r="I43" s="501"/>
      <c r="J43" s="501"/>
    </row>
    <row r="44" spans="1:10">
      <c r="A44" s="501"/>
      <c r="B44" s="505"/>
      <c r="C44" s="501"/>
      <c r="D44" s="501"/>
      <c r="E44" s="501"/>
      <c r="F44" s="501"/>
      <c r="G44" s="501"/>
      <c r="H44" s="501"/>
      <c r="I44" s="501"/>
      <c r="J44" s="501"/>
    </row>
    <row r="45" spans="1:10">
      <c r="A45" s="501"/>
      <c r="B45" s="505"/>
      <c r="C45" s="501"/>
      <c r="D45" s="501"/>
      <c r="E45" s="501"/>
      <c r="F45" s="501"/>
      <c r="G45" s="501"/>
      <c r="H45" s="501"/>
      <c r="I45" s="501"/>
      <c r="J45" s="501"/>
    </row>
    <row r="46" spans="1:10">
      <c r="A46" s="501"/>
      <c r="B46" s="505"/>
      <c r="C46" s="501"/>
      <c r="D46" s="501"/>
      <c r="E46" s="501"/>
      <c r="F46" s="501"/>
      <c r="G46" s="501"/>
      <c r="H46" s="501"/>
      <c r="I46" s="501"/>
      <c r="J46" s="501"/>
    </row>
    <row r="47" spans="1:10">
      <c r="A47" s="501"/>
      <c r="B47" s="501"/>
      <c r="C47" s="501"/>
      <c r="D47" s="501"/>
      <c r="E47" s="501"/>
      <c r="F47" s="501"/>
      <c r="G47" s="501"/>
      <c r="H47" s="501"/>
      <c r="I47" s="501"/>
      <c r="J47" s="501"/>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110" zoomScaleNormal="110" workbookViewId="0">
      <selection activeCell="C11" sqref="C11"/>
    </sheetView>
  </sheetViews>
  <sheetFormatPr defaultColWidth="9.140625" defaultRowHeight="12.75"/>
  <cols>
    <col min="1" max="1" width="11.85546875" style="477" bestFit="1" customWidth="1"/>
    <col min="2" max="2" width="108" style="477" bestFit="1" customWidth="1"/>
    <col min="3" max="3" width="35.5703125" style="477" customWidth="1"/>
    <col min="4" max="4" width="38.42578125" style="499" customWidth="1"/>
    <col min="5" max="16384" width="9.140625" style="477"/>
  </cols>
  <sheetData>
    <row r="1" spans="1:4">
      <c r="A1" s="476" t="s">
        <v>188</v>
      </c>
      <c r="D1" s="477"/>
    </row>
    <row r="2" spans="1:4">
      <c r="A2" s="478" t="s">
        <v>189</v>
      </c>
      <c r="D2" s="477"/>
    </row>
    <row r="3" spans="1:4">
      <c r="A3" s="479" t="s">
        <v>591</v>
      </c>
      <c r="B3" s="480">
        <f>'1. key ratios'!B2</f>
        <v>44377</v>
      </c>
      <c r="D3" s="477"/>
    </row>
    <row r="5" spans="1:4" ht="51">
      <c r="A5" s="736" t="s">
        <v>592</v>
      </c>
      <c r="B5" s="736"/>
      <c r="C5" s="506" t="s">
        <v>593</v>
      </c>
      <c r="D5" s="550" t="s">
        <v>594</v>
      </c>
    </row>
    <row r="6" spans="1:4">
      <c r="A6" s="507">
        <v>1</v>
      </c>
      <c r="B6" s="508" t="s">
        <v>595</v>
      </c>
      <c r="C6" s="650">
        <v>55169305.230000094</v>
      </c>
      <c r="D6" s="650">
        <v>100000</v>
      </c>
    </row>
    <row r="7" spans="1:4">
      <c r="A7" s="509">
        <v>2</v>
      </c>
      <c r="B7" s="508" t="s">
        <v>596</v>
      </c>
      <c r="C7" s="649">
        <f>SUM(C8:C11)</f>
        <v>7454023.0328685697</v>
      </c>
      <c r="D7" s="649">
        <f>SUM(D8:D11)</f>
        <v>0</v>
      </c>
    </row>
    <row r="8" spans="1:4">
      <c r="A8" s="510">
        <v>2.1</v>
      </c>
      <c r="B8" s="511" t="s">
        <v>597</v>
      </c>
      <c r="C8" s="650">
        <v>4032004.965721</v>
      </c>
      <c r="D8" s="650"/>
    </row>
    <row r="9" spans="1:4">
      <c r="A9" s="510">
        <v>2.2000000000000002</v>
      </c>
      <c r="B9" s="511" t="s">
        <v>598</v>
      </c>
      <c r="C9" s="650">
        <v>3422018.0671475693</v>
      </c>
      <c r="D9" s="650"/>
    </row>
    <row r="10" spans="1:4">
      <c r="A10" s="510">
        <v>2.2999999999999998</v>
      </c>
      <c r="B10" s="511" t="s">
        <v>599</v>
      </c>
      <c r="C10" s="650">
        <v>0</v>
      </c>
      <c r="D10" s="650"/>
    </row>
    <row r="11" spans="1:4">
      <c r="A11" s="510">
        <v>2.4</v>
      </c>
      <c r="B11" s="511" t="s">
        <v>600</v>
      </c>
      <c r="C11" s="650">
        <v>0</v>
      </c>
      <c r="D11" s="650"/>
    </row>
    <row r="12" spans="1:4">
      <c r="A12" s="507">
        <v>3</v>
      </c>
      <c r="B12" s="508" t="s">
        <v>601</v>
      </c>
      <c r="C12" s="649">
        <f>SUM(C13:C18)</f>
        <v>9285276.392868001</v>
      </c>
      <c r="D12" s="649">
        <f>SUM(D13:D18)</f>
        <v>0</v>
      </c>
    </row>
    <row r="13" spans="1:4">
      <c r="A13" s="510">
        <v>3.1</v>
      </c>
      <c r="B13" s="511" t="s">
        <v>602</v>
      </c>
      <c r="C13" s="650">
        <v>889654.63000000012</v>
      </c>
      <c r="D13" s="650"/>
    </row>
    <row r="14" spans="1:4">
      <c r="A14" s="510">
        <v>3.2</v>
      </c>
      <c r="B14" s="511" t="s">
        <v>603</v>
      </c>
      <c r="C14" s="650">
        <v>1888930.4897480009</v>
      </c>
      <c r="D14" s="650"/>
    </row>
    <row r="15" spans="1:4">
      <c r="A15" s="510">
        <v>3.3</v>
      </c>
      <c r="B15" s="511" t="s">
        <v>604</v>
      </c>
      <c r="C15" s="650">
        <v>3730049.49186</v>
      </c>
      <c r="D15" s="650"/>
    </row>
    <row r="16" spans="1:4">
      <c r="A16" s="510">
        <v>3.4</v>
      </c>
      <c r="B16" s="511" t="s">
        <v>605</v>
      </c>
      <c r="C16" s="650">
        <v>305779.33071100002</v>
      </c>
      <c r="D16" s="650"/>
    </row>
    <row r="17" spans="1:4">
      <c r="A17" s="509">
        <v>3.5</v>
      </c>
      <c r="B17" s="511" t="s">
        <v>606</v>
      </c>
      <c r="C17" s="650">
        <v>2470862.4505490009</v>
      </c>
      <c r="D17" s="650"/>
    </row>
    <row r="18" spans="1:4">
      <c r="A18" s="510">
        <v>3.6</v>
      </c>
      <c r="B18" s="511" t="s">
        <v>607</v>
      </c>
      <c r="C18" s="650">
        <v>0</v>
      </c>
      <c r="D18" s="650"/>
    </row>
    <row r="19" spans="1:4">
      <c r="A19" s="512">
        <v>4</v>
      </c>
      <c r="B19" s="508" t="s">
        <v>608</v>
      </c>
      <c r="C19" s="649">
        <f>C6+C7-C12</f>
        <v>53338051.87000066</v>
      </c>
      <c r="D19" s="649">
        <f>D6+D7-D12</f>
        <v>100000</v>
      </c>
    </row>
  </sheetData>
  <mergeCells count="1">
    <mergeCell ref="A5:B5"/>
  </mergeCells>
  <pageMargins left="0.7" right="0.7" top="0.75" bottom="0.75" header="0.3" footer="0.3"/>
  <pageSetup orientation="portrait" horizontalDpi="4294967292"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85" zoomScaleNormal="85" workbookViewId="0">
      <selection activeCell="C16" sqref="C16"/>
    </sheetView>
  </sheetViews>
  <sheetFormatPr defaultColWidth="9.140625" defaultRowHeight="12.75"/>
  <cols>
    <col min="1" max="1" width="11.85546875" style="477" bestFit="1" customWidth="1"/>
    <col min="2" max="2" width="124.7109375" style="477" customWidth="1"/>
    <col min="3" max="3" width="21.5703125" style="477" customWidth="1"/>
    <col min="4" max="4" width="49.140625" style="499" customWidth="1"/>
    <col min="5" max="16384" width="9.140625" style="477"/>
  </cols>
  <sheetData>
    <row r="1" spans="1:4">
      <c r="A1" s="476" t="s">
        <v>188</v>
      </c>
      <c r="D1" s="477"/>
    </row>
    <row r="2" spans="1:4">
      <c r="A2" s="478" t="s">
        <v>189</v>
      </c>
      <c r="D2" s="477"/>
    </row>
    <row r="3" spans="1:4">
      <c r="A3" s="479" t="s">
        <v>609</v>
      </c>
      <c r="B3" s="480">
        <f>'1. key ratios'!B2</f>
        <v>44377</v>
      </c>
      <c r="D3" s="477"/>
    </row>
    <row r="4" spans="1:4">
      <c r="A4" s="479"/>
      <c r="D4" s="477"/>
    </row>
    <row r="5" spans="1:4" ht="15" customHeight="1">
      <c r="A5" s="737" t="s">
        <v>610</v>
      </c>
      <c r="B5" s="738"/>
      <c r="C5" s="727" t="s">
        <v>611</v>
      </c>
      <c r="D5" s="741" t="s">
        <v>612</v>
      </c>
    </row>
    <row r="6" spans="1:4">
      <c r="A6" s="739"/>
      <c r="B6" s="740"/>
      <c r="C6" s="730"/>
      <c r="D6" s="741"/>
    </row>
    <row r="7" spans="1:4">
      <c r="A7" s="502">
        <v>1</v>
      </c>
      <c r="B7" s="484" t="s">
        <v>613</v>
      </c>
      <c r="C7" s="649">
        <v>67565885.8072</v>
      </c>
      <c r="D7" s="513"/>
    </row>
    <row r="8" spans="1:4">
      <c r="A8" s="493">
        <v>2</v>
      </c>
      <c r="B8" s="493" t="s">
        <v>614</v>
      </c>
      <c r="C8" s="650">
        <v>9873984.8956993874</v>
      </c>
      <c r="D8" s="513"/>
    </row>
    <row r="9" spans="1:4">
      <c r="A9" s="493">
        <v>3</v>
      </c>
      <c r="B9" s="514" t="s">
        <v>615</v>
      </c>
      <c r="C9" s="650">
        <v>0</v>
      </c>
      <c r="D9" s="513"/>
    </row>
    <row r="10" spans="1:4">
      <c r="A10" s="493">
        <v>4</v>
      </c>
      <c r="B10" s="493" t="s">
        <v>616</v>
      </c>
      <c r="C10" s="650">
        <f>SUM(C11:C18)</f>
        <v>12708992.812901445</v>
      </c>
      <c r="D10" s="513"/>
    </row>
    <row r="11" spans="1:4">
      <c r="A11" s="493">
        <v>5</v>
      </c>
      <c r="B11" s="515" t="s">
        <v>617</v>
      </c>
      <c r="C11" s="650">
        <v>0</v>
      </c>
      <c r="D11" s="513"/>
    </row>
    <row r="12" spans="1:4">
      <c r="A12" s="493">
        <v>6</v>
      </c>
      <c r="B12" s="515" t="s">
        <v>618</v>
      </c>
      <c r="C12" s="650">
        <v>1263079.2777999998</v>
      </c>
      <c r="D12" s="513"/>
    </row>
    <row r="13" spans="1:4">
      <c r="A13" s="493">
        <v>7</v>
      </c>
      <c r="B13" s="515" t="s">
        <v>619</v>
      </c>
      <c r="C13" s="650">
        <v>7030537.4285005601</v>
      </c>
      <c r="D13" s="513"/>
    </row>
    <row r="14" spans="1:4">
      <c r="A14" s="493">
        <v>8</v>
      </c>
      <c r="B14" s="515" t="s">
        <v>620</v>
      </c>
      <c r="C14" s="650">
        <v>682745</v>
      </c>
      <c r="D14" s="651">
        <v>0</v>
      </c>
    </row>
    <row r="15" spans="1:4">
      <c r="A15" s="493">
        <v>9</v>
      </c>
      <c r="B15" s="515" t="s">
        <v>621</v>
      </c>
      <c r="C15" s="650">
        <v>0</v>
      </c>
      <c r="D15" s="651">
        <v>0</v>
      </c>
    </row>
    <row r="16" spans="1:4">
      <c r="A16" s="493">
        <v>10</v>
      </c>
      <c r="B16" s="515" t="s">
        <v>622</v>
      </c>
      <c r="C16" s="650">
        <v>860902.09149999998</v>
      </c>
      <c r="D16" s="513"/>
    </row>
    <row r="17" spans="1:4">
      <c r="A17" s="493">
        <v>11</v>
      </c>
      <c r="B17" s="515" t="s">
        <v>623</v>
      </c>
      <c r="C17" s="650">
        <v>0</v>
      </c>
      <c r="D17" s="651">
        <v>0</v>
      </c>
    </row>
    <row r="18" spans="1:4" ht="25.5">
      <c r="A18" s="493">
        <v>12</v>
      </c>
      <c r="B18" s="515" t="s">
        <v>624</v>
      </c>
      <c r="C18" s="650">
        <v>2871729.0151008861</v>
      </c>
      <c r="D18" s="513"/>
    </row>
    <row r="19" spans="1:4">
      <c r="A19" s="502">
        <v>13</v>
      </c>
      <c r="B19" s="516" t="s">
        <v>625</v>
      </c>
      <c r="C19" s="649">
        <f>C7+C8+C9-C10</f>
        <v>64730877.889997937</v>
      </c>
      <c r="D19" s="517"/>
    </row>
    <row r="22" spans="1:4">
      <c r="B22" s="476"/>
    </row>
    <row r="23" spans="1:4">
      <c r="B23" s="478"/>
    </row>
    <row r="24" spans="1:4">
      <c r="B24" s="47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opLeftCell="C1" zoomScale="90" zoomScaleNormal="90" workbookViewId="0">
      <selection activeCell="F31" sqref="F31"/>
    </sheetView>
  </sheetViews>
  <sheetFormatPr defaultColWidth="9.140625" defaultRowHeight="12.75"/>
  <cols>
    <col min="1" max="1" width="11.85546875" style="477" bestFit="1" customWidth="1"/>
    <col min="2" max="2" width="80.7109375" style="477" customWidth="1"/>
    <col min="3" max="3" width="17.85546875" style="477" bestFit="1" customWidth="1"/>
    <col min="4" max="5" width="22.28515625" style="477" customWidth="1"/>
    <col min="6" max="6" width="23.42578125" style="477" customWidth="1"/>
    <col min="7" max="14" width="22.28515625" style="477" customWidth="1"/>
    <col min="15" max="15" width="23.42578125" style="477" bestFit="1" customWidth="1"/>
    <col min="16" max="16" width="21.85546875" style="477" bestFit="1" customWidth="1"/>
    <col min="17" max="19" width="19.140625" style="477" bestFit="1" customWidth="1"/>
    <col min="20" max="20" width="16.140625" style="477" customWidth="1"/>
    <col min="21" max="21" width="13.42578125" style="477" bestFit="1" customWidth="1"/>
    <col min="22" max="22" width="20" style="477" customWidth="1"/>
    <col min="23" max="16384" width="9.140625" style="477"/>
  </cols>
  <sheetData>
    <row r="1" spans="1:22">
      <c r="A1" s="476" t="s">
        <v>188</v>
      </c>
    </row>
    <row r="2" spans="1:22">
      <c r="A2" s="478" t="s">
        <v>189</v>
      </c>
      <c r="B2" s="488"/>
      <c r="C2" s="488"/>
    </row>
    <row r="3" spans="1:22">
      <c r="A3" s="479" t="s">
        <v>626</v>
      </c>
      <c r="B3" s="480">
        <f>'1. key ratios'!B2</f>
        <v>44377</v>
      </c>
    </row>
    <row r="5" spans="1:22" ht="15" customHeight="1">
      <c r="A5" s="727" t="s">
        <v>627</v>
      </c>
      <c r="B5" s="729"/>
      <c r="C5" s="744" t="s">
        <v>628</v>
      </c>
      <c r="D5" s="745"/>
      <c r="E5" s="745"/>
      <c r="F5" s="745"/>
      <c r="G5" s="745"/>
      <c r="H5" s="745"/>
      <c r="I5" s="745"/>
      <c r="J5" s="745"/>
      <c r="K5" s="745"/>
      <c r="L5" s="745"/>
      <c r="M5" s="745"/>
      <c r="N5" s="745"/>
      <c r="O5" s="745"/>
      <c r="P5" s="745"/>
      <c r="Q5" s="745"/>
      <c r="R5" s="745"/>
      <c r="S5" s="745"/>
      <c r="T5" s="745"/>
      <c r="U5" s="746"/>
      <c r="V5" s="518"/>
    </row>
    <row r="6" spans="1:22">
      <c r="A6" s="742"/>
      <c r="B6" s="743"/>
      <c r="C6" s="747" t="s">
        <v>68</v>
      </c>
      <c r="D6" s="749" t="s">
        <v>629</v>
      </c>
      <c r="E6" s="749"/>
      <c r="F6" s="750"/>
      <c r="G6" s="751" t="s">
        <v>630</v>
      </c>
      <c r="H6" s="752"/>
      <c r="I6" s="752"/>
      <c r="J6" s="752"/>
      <c r="K6" s="753"/>
      <c r="L6" s="519"/>
      <c r="M6" s="754" t="s">
        <v>631</v>
      </c>
      <c r="N6" s="754"/>
      <c r="O6" s="734"/>
      <c r="P6" s="734"/>
      <c r="Q6" s="734"/>
      <c r="R6" s="734"/>
      <c r="S6" s="734"/>
      <c r="T6" s="734"/>
      <c r="U6" s="734"/>
      <c r="V6" s="520"/>
    </row>
    <row r="7" spans="1:22" ht="25.5">
      <c r="A7" s="730"/>
      <c r="B7" s="732"/>
      <c r="C7" s="748"/>
      <c r="D7" s="521"/>
      <c r="E7" s="490" t="s">
        <v>632</v>
      </c>
      <c r="F7" s="554" t="s">
        <v>633</v>
      </c>
      <c r="G7" s="488"/>
      <c r="H7" s="554" t="s">
        <v>632</v>
      </c>
      <c r="I7" s="490" t="s">
        <v>659</v>
      </c>
      <c r="J7" s="490" t="s">
        <v>634</v>
      </c>
      <c r="K7" s="554" t="s">
        <v>635</v>
      </c>
      <c r="L7" s="522"/>
      <c r="M7" s="541" t="s">
        <v>636</v>
      </c>
      <c r="N7" s="490" t="s">
        <v>634</v>
      </c>
      <c r="O7" s="490" t="s">
        <v>637</v>
      </c>
      <c r="P7" s="490" t="s">
        <v>638</v>
      </c>
      <c r="Q7" s="490" t="s">
        <v>639</v>
      </c>
      <c r="R7" s="490" t="s">
        <v>640</v>
      </c>
      <c r="S7" s="490" t="s">
        <v>641</v>
      </c>
      <c r="T7" s="523" t="s">
        <v>642</v>
      </c>
      <c r="U7" s="490" t="s">
        <v>643</v>
      </c>
      <c r="V7" s="518"/>
    </row>
    <row r="8" spans="1:22">
      <c r="A8" s="524">
        <v>1</v>
      </c>
      <c r="B8" s="484" t="s">
        <v>644</v>
      </c>
      <c r="C8" s="649">
        <v>949967386.11999786</v>
      </c>
      <c r="D8" s="650">
        <v>754097716.20089924</v>
      </c>
      <c r="E8" s="650">
        <v>13295291.550699998</v>
      </c>
      <c r="F8" s="650">
        <v>0</v>
      </c>
      <c r="G8" s="650">
        <v>131138792.01740001</v>
      </c>
      <c r="H8" s="650">
        <v>11492372.154899996</v>
      </c>
      <c r="I8" s="650">
        <v>3850755.7291999999</v>
      </c>
      <c r="J8" s="650">
        <v>582500.27340000006</v>
      </c>
      <c r="K8" s="650">
        <v>0</v>
      </c>
      <c r="L8" s="650">
        <v>64730877.901697658</v>
      </c>
      <c r="M8" s="650">
        <v>6983616.1184999999</v>
      </c>
      <c r="N8" s="650">
        <v>1931789.8101999999</v>
      </c>
      <c r="O8" s="650">
        <v>3926586.1902000005</v>
      </c>
      <c r="P8" s="650">
        <v>5607424.3206999991</v>
      </c>
      <c r="Q8" s="650">
        <v>3358433.9364000005</v>
      </c>
      <c r="R8" s="650">
        <v>815093.81349999993</v>
      </c>
      <c r="S8" s="650">
        <v>0</v>
      </c>
      <c r="T8" s="650">
        <v>0</v>
      </c>
      <c r="U8" s="650">
        <v>1623229.8424976594</v>
      </c>
      <c r="V8" s="501"/>
    </row>
    <row r="9" spans="1:22">
      <c r="A9" s="492">
        <v>1.1000000000000001</v>
      </c>
      <c r="B9" s="525" t="s">
        <v>645</v>
      </c>
      <c r="C9" s="653">
        <v>0</v>
      </c>
      <c r="D9" s="650">
        <v>0</v>
      </c>
      <c r="E9" s="650">
        <v>0</v>
      </c>
      <c r="F9" s="650">
        <v>0</v>
      </c>
      <c r="G9" s="650">
        <v>0</v>
      </c>
      <c r="H9" s="650">
        <v>0</v>
      </c>
      <c r="I9" s="650">
        <v>0</v>
      </c>
      <c r="J9" s="650">
        <v>0</v>
      </c>
      <c r="K9" s="650">
        <v>0</v>
      </c>
      <c r="L9" s="650">
        <v>0</v>
      </c>
      <c r="M9" s="650">
        <v>0</v>
      </c>
      <c r="N9" s="650">
        <v>0</v>
      </c>
      <c r="O9" s="650">
        <v>0</v>
      </c>
      <c r="P9" s="650">
        <v>0</v>
      </c>
      <c r="Q9" s="650">
        <v>0</v>
      </c>
      <c r="R9" s="650">
        <v>0</v>
      </c>
      <c r="S9" s="650">
        <v>0</v>
      </c>
      <c r="T9" s="650">
        <v>0</v>
      </c>
      <c r="U9" s="650">
        <v>0</v>
      </c>
      <c r="V9" s="501"/>
    </row>
    <row r="10" spans="1:22">
      <c r="A10" s="492">
        <v>1.2</v>
      </c>
      <c r="B10" s="525" t="s">
        <v>646</v>
      </c>
      <c r="C10" s="653">
        <v>0</v>
      </c>
      <c r="D10" s="650">
        <v>0</v>
      </c>
      <c r="E10" s="650">
        <v>0</v>
      </c>
      <c r="F10" s="650">
        <v>0</v>
      </c>
      <c r="G10" s="650">
        <v>0</v>
      </c>
      <c r="H10" s="650">
        <v>0</v>
      </c>
      <c r="I10" s="650">
        <v>0</v>
      </c>
      <c r="J10" s="650">
        <v>0</v>
      </c>
      <c r="K10" s="650">
        <v>0</v>
      </c>
      <c r="L10" s="650">
        <v>0</v>
      </c>
      <c r="M10" s="650">
        <v>0</v>
      </c>
      <c r="N10" s="650">
        <v>0</v>
      </c>
      <c r="O10" s="650">
        <v>0</v>
      </c>
      <c r="P10" s="650">
        <v>0</v>
      </c>
      <c r="Q10" s="650">
        <v>0</v>
      </c>
      <c r="R10" s="650">
        <v>0</v>
      </c>
      <c r="S10" s="650">
        <v>0</v>
      </c>
      <c r="T10" s="650">
        <v>0</v>
      </c>
      <c r="U10" s="650">
        <v>0</v>
      </c>
      <c r="V10" s="501"/>
    </row>
    <row r="11" spans="1:22">
      <c r="A11" s="492">
        <v>1.3</v>
      </c>
      <c r="B11" s="525" t="s">
        <v>647</v>
      </c>
      <c r="C11" s="653">
        <v>0</v>
      </c>
      <c r="D11" s="650">
        <v>0</v>
      </c>
      <c r="E11" s="650">
        <v>0</v>
      </c>
      <c r="F11" s="650">
        <v>0</v>
      </c>
      <c r="G11" s="650">
        <v>0</v>
      </c>
      <c r="H11" s="650">
        <v>0</v>
      </c>
      <c r="I11" s="650">
        <v>0</v>
      </c>
      <c r="J11" s="650">
        <v>0</v>
      </c>
      <c r="K11" s="650">
        <v>0</v>
      </c>
      <c r="L11" s="650">
        <v>0</v>
      </c>
      <c r="M11" s="650">
        <v>0</v>
      </c>
      <c r="N11" s="650">
        <v>0</v>
      </c>
      <c r="O11" s="650">
        <v>0</v>
      </c>
      <c r="P11" s="650">
        <v>0</v>
      </c>
      <c r="Q11" s="650">
        <v>0</v>
      </c>
      <c r="R11" s="650">
        <v>0</v>
      </c>
      <c r="S11" s="650">
        <v>0</v>
      </c>
      <c r="T11" s="650">
        <v>0</v>
      </c>
      <c r="U11" s="650">
        <v>0</v>
      </c>
      <c r="V11" s="501"/>
    </row>
    <row r="12" spans="1:22">
      <c r="A12" s="492">
        <v>1.4</v>
      </c>
      <c r="B12" s="525" t="s">
        <v>648</v>
      </c>
      <c r="C12" s="653">
        <v>54116092.181700021</v>
      </c>
      <c r="D12" s="650">
        <v>52320994.986200012</v>
      </c>
      <c r="E12" s="650">
        <v>380281.82779999997</v>
      </c>
      <c r="F12" s="650">
        <v>0</v>
      </c>
      <c r="G12" s="650">
        <v>855224.83589999995</v>
      </c>
      <c r="H12" s="650">
        <v>131913.58240000001</v>
      </c>
      <c r="I12" s="650">
        <v>93664.054900000003</v>
      </c>
      <c r="J12" s="650">
        <v>0</v>
      </c>
      <c r="K12" s="650">
        <v>0</v>
      </c>
      <c r="L12" s="650">
        <v>939872.35959999997</v>
      </c>
      <c r="M12" s="650">
        <v>240.8323</v>
      </c>
      <c r="N12" s="650">
        <v>41060.008099999999</v>
      </c>
      <c r="O12" s="650">
        <v>53355.33</v>
      </c>
      <c r="P12" s="650">
        <v>121669.59440000002</v>
      </c>
      <c r="Q12" s="650">
        <v>0</v>
      </c>
      <c r="R12" s="650">
        <v>0</v>
      </c>
      <c r="S12" s="650">
        <v>0</v>
      </c>
      <c r="T12" s="650">
        <v>0</v>
      </c>
      <c r="U12" s="650">
        <v>136240.83669999999</v>
      </c>
      <c r="V12" s="501"/>
    </row>
    <row r="13" spans="1:22">
      <c r="A13" s="492">
        <v>1.5</v>
      </c>
      <c r="B13" s="525" t="s">
        <v>649</v>
      </c>
      <c r="C13" s="653">
        <v>704556255.77440035</v>
      </c>
      <c r="D13" s="650">
        <v>529715356.81739926</v>
      </c>
      <c r="E13" s="650">
        <v>10923043.076199997</v>
      </c>
      <c r="F13" s="650">
        <v>0</v>
      </c>
      <c r="G13" s="650">
        <v>123469908.49630001</v>
      </c>
      <c r="H13" s="650">
        <v>10564512.527699996</v>
      </c>
      <c r="I13" s="650">
        <v>3116724.5600999999</v>
      </c>
      <c r="J13" s="650">
        <v>574514.41340000008</v>
      </c>
      <c r="K13" s="650">
        <v>0</v>
      </c>
      <c r="L13" s="650">
        <v>51370990.460699998</v>
      </c>
      <c r="M13" s="650">
        <v>5528113.9787999997</v>
      </c>
      <c r="N13" s="650">
        <v>1661926.2457999999</v>
      </c>
      <c r="O13" s="650">
        <v>3196278.1144000003</v>
      </c>
      <c r="P13" s="650">
        <v>4603357.4863</v>
      </c>
      <c r="Q13" s="650">
        <v>2177365.5746000004</v>
      </c>
      <c r="R13" s="650">
        <v>780844.98659999995</v>
      </c>
      <c r="S13" s="650">
        <v>0</v>
      </c>
      <c r="T13" s="650">
        <v>0</v>
      </c>
      <c r="U13" s="650">
        <v>646246.70189999999</v>
      </c>
      <c r="V13" s="501"/>
    </row>
    <row r="14" spans="1:22">
      <c r="A14" s="492">
        <v>1.6</v>
      </c>
      <c r="B14" s="525" t="s">
        <v>650</v>
      </c>
      <c r="C14" s="653">
        <v>191295038.16389751</v>
      </c>
      <c r="D14" s="650">
        <v>172061364.3973</v>
      </c>
      <c r="E14" s="650">
        <v>1991966.6466999999</v>
      </c>
      <c r="F14" s="650">
        <v>0</v>
      </c>
      <c r="G14" s="650">
        <v>6813658.6852000002</v>
      </c>
      <c r="H14" s="650">
        <v>795946.04479999992</v>
      </c>
      <c r="I14" s="650">
        <v>640367.11420000007</v>
      </c>
      <c r="J14" s="650">
        <v>7985.86</v>
      </c>
      <c r="K14" s="650">
        <v>0</v>
      </c>
      <c r="L14" s="650">
        <v>12420015.081397658</v>
      </c>
      <c r="M14" s="650">
        <v>1455261.3074000003</v>
      </c>
      <c r="N14" s="650">
        <v>228803.5563</v>
      </c>
      <c r="O14" s="650">
        <v>676952.74580000003</v>
      </c>
      <c r="P14" s="650">
        <v>882397.23999999976</v>
      </c>
      <c r="Q14" s="650">
        <v>1181068.3618000001</v>
      </c>
      <c r="R14" s="650">
        <v>34248.8269</v>
      </c>
      <c r="S14" s="650">
        <v>0</v>
      </c>
      <c r="T14" s="650">
        <v>0</v>
      </c>
      <c r="U14" s="650">
        <v>840742.30389765941</v>
      </c>
      <c r="V14" s="501"/>
    </row>
    <row r="15" spans="1:22">
      <c r="A15" s="524">
        <v>2</v>
      </c>
      <c r="B15" s="502" t="s">
        <v>651</v>
      </c>
      <c r="C15" s="649">
        <v>122229070.13</v>
      </c>
      <c r="D15" s="650">
        <v>122229070.13</v>
      </c>
      <c r="E15" s="650">
        <v>0</v>
      </c>
      <c r="F15" s="650">
        <v>0</v>
      </c>
      <c r="G15" s="650">
        <v>0</v>
      </c>
      <c r="H15" s="650">
        <v>0</v>
      </c>
      <c r="I15" s="650">
        <v>0</v>
      </c>
      <c r="J15" s="650">
        <v>0</v>
      </c>
      <c r="K15" s="650">
        <v>0</v>
      </c>
      <c r="L15" s="650">
        <v>0</v>
      </c>
      <c r="M15" s="650">
        <v>0</v>
      </c>
      <c r="N15" s="650">
        <v>0</v>
      </c>
      <c r="O15" s="650">
        <v>0</v>
      </c>
      <c r="P15" s="650">
        <v>0</v>
      </c>
      <c r="Q15" s="650">
        <v>0</v>
      </c>
      <c r="R15" s="650">
        <v>0</v>
      </c>
      <c r="S15" s="650">
        <v>0</v>
      </c>
      <c r="T15" s="650">
        <v>0</v>
      </c>
      <c r="U15" s="650">
        <v>0</v>
      </c>
      <c r="V15" s="501"/>
    </row>
    <row r="16" spans="1:22">
      <c r="A16" s="492">
        <v>2.1</v>
      </c>
      <c r="B16" s="525" t="s">
        <v>645</v>
      </c>
      <c r="C16" s="653">
        <v>8183426.5300000003</v>
      </c>
      <c r="D16" s="650">
        <v>8183426.5300000003</v>
      </c>
      <c r="E16" s="650">
        <v>0</v>
      </c>
      <c r="F16" s="650">
        <v>0</v>
      </c>
      <c r="G16" s="650">
        <v>0</v>
      </c>
      <c r="H16" s="650">
        <v>0</v>
      </c>
      <c r="I16" s="650">
        <v>0</v>
      </c>
      <c r="J16" s="650">
        <v>0</v>
      </c>
      <c r="K16" s="650">
        <v>0</v>
      </c>
      <c r="L16" s="650">
        <v>0</v>
      </c>
      <c r="M16" s="650">
        <v>0</v>
      </c>
      <c r="N16" s="650">
        <v>0</v>
      </c>
      <c r="O16" s="650">
        <v>0</v>
      </c>
      <c r="P16" s="650">
        <v>0</v>
      </c>
      <c r="Q16" s="650">
        <v>0</v>
      </c>
      <c r="R16" s="650">
        <v>0</v>
      </c>
      <c r="S16" s="650">
        <v>0</v>
      </c>
      <c r="T16" s="650">
        <v>0</v>
      </c>
      <c r="U16" s="650">
        <v>0</v>
      </c>
      <c r="V16" s="501"/>
    </row>
    <row r="17" spans="1:22">
      <c r="A17" s="492">
        <v>2.2000000000000002</v>
      </c>
      <c r="B17" s="525" t="s">
        <v>646</v>
      </c>
      <c r="C17" s="653">
        <v>75045643.599999994</v>
      </c>
      <c r="D17" s="650">
        <v>75045643.599999994</v>
      </c>
      <c r="E17" s="650">
        <v>0</v>
      </c>
      <c r="F17" s="650">
        <v>0</v>
      </c>
      <c r="G17" s="650">
        <v>0</v>
      </c>
      <c r="H17" s="650">
        <v>0</v>
      </c>
      <c r="I17" s="650">
        <v>0</v>
      </c>
      <c r="J17" s="650">
        <v>0</v>
      </c>
      <c r="K17" s="650">
        <v>0</v>
      </c>
      <c r="L17" s="650">
        <v>0</v>
      </c>
      <c r="M17" s="650">
        <v>0</v>
      </c>
      <c r="N17" s="650">
        <v>0</v>
      </c>
      <c r="O17" s="650">
        <v>0</v>
      </c>
      <c r="P17" s="650">
        <v>0</v>
      </c>
      <c r="Q17" s="650">
        <v>0</v>
      </c>
      <c r="R17" s="650">
        <v>0</v>
      </c>
      <c r="S17" s="650">
        <v>0</v>
      </c>
      <c r="T17" s="650">
        <v>0</v>
      </c>
      <c r="U17" s="650">
        <v>0</v>
      </c>
      <c r="V17" s="501"/>
    </row>
    <row r="18" spans="1:22">
      <c r="A18" s="492">
        <v>2.2999999999999998</v>
      </c>
      <c r="B18" s="525" t="s">
        <v>647</v>
      </c>
      <c r="C18" s="653">
        <v>34000000</v>
      </c>
      <c r="D18" s="650">
        <v>34000000</v>
      </c>
      <c r="E18" s="650">
        <v>0</v>
      </c>
      <c r="F18" s="650">
        <v>0</v>
      </c>
      <c r="G18" s="650">
        <v>0</v>
      </c>
      <c r="H18" s="650">
        <v>0</v>
      </c>
      <c r="I18" s="650">
        <v>0</v>
      </c>
      <c r="J18" s="650">
        <v>0</v>
      </c>
      <c r="K18" s="650">
        <v>0</v>
      </c>
      <c r="L18" s="650">
        <v>0</v>
      </c>
      <c r="M18" s="650">
        <v>0</v>
      </c>
      <c r="N18" s="650">
        <v>0</v>
      </c>
      <c r="O18" s="650">
        <v>0</v>
      </c>
      <c r="P18" s="650">
        <v>0</v>
      </c>
      <c r="Q18" s="650">
        <v>0</v>
      </c>
      <c r="R18" s="650">
        <v>0</v>
      </c>
      <c r="S18" s="650">
        <v>0</v>
      </c>
      <c r="T18" s="650">
        <v>0</v>
      </c>
      <c r="U18" s="650">
        <v>0</v>
      </c>
      <c r="V18" s="501"/>
    </row>
    <row r="19" spans="1:22">
      <c r="A19" s="492">
        <v>2.4</v>
      </c>
      <c r="B19" s="525" t="s">
        <v>648</v>
      </c>
      <c r="C19" s="653">
        <v>5000000</v>
      </c>
      <c r="D19" s="650">
        <v>5000000</v>
      </c>
      <c r="E19" s="650">
        <v>0</v>
      </c>
      <c r="F19" s="650">
        <v>0</v>
      </c>
      <c r="G19" s="650">
        <v>0</v>
      </c>
      <c r="H19" s="650">
        <v>0</v>
      </c>
      <c r="I19" s="650">
        <v>0</v>
      </c>
      <c r="J19" s="650">
        <v>0</v>
      </c>
      <c r="K19" s="650">
        <v>0</v>
      </c>
      <c r="L19" s="650">
        <v>0</v>
      </c>
      <c r="M19" s="650">
        <v>0</v>
      </c>
      <c r="N19" s="650">
        <v>0</v>
      </c>
      <c r="O19" s="650">
        <v>0</v>
      </c>
      <c r="P19" s="650">
        <v>0</v>
      </c>
      <c r="Q19" s="650">
        <v>0</v>
      </c>
      <c r="R19" s="650">
        <v>0</v>
      </c>
      <c r="S19" s="650">
        <v>0</v>
      </c>
      <c r="T19" s="650">
        <v>0</v>
      </c>
      <c r="U19" s="650">
        <v>0</v>
      </c>
      <c r="V19" s="501"/>
    </row>
    <row r="20" spans="1:22">
      <c r="A20" s="492">
        <v>2.5</v>
      </c>
      <c r="B20" s="525" t="s">
        <v>649</v>
      </c>
      <c r="C20" s="653">
        <v>0</v>
      </c>
      <c r="D20" s="650">
        <v>0</v>
      </c>
      <c r="E20" s="650">
        <v>0</v>
      </c>
      <c r="F20" s="650">
        <v>0</v>
      </c>
      <c r="G20" s="650">
        <v>0</v>
      </c>
      <c r="H20" s="650">
        <v>0</v>
      </c>
      <c r="I20" s="650">
        <v>0</v>
      </c>
      <c r="J20" s="650">
        <v>0</v>
      </c>
      <c r="K20" s="650">
        <v>0</v>
      </c>
      <c r="L20" s="650">
        <v>0</v>
      </c>
      <c r="M20" s="650">
        <v>0</v>
      </c>
      <c r="N20" s="650">
        <v>0</v>
      </c>
      <c r="O20" s="650">
        <v>0</v>
      </c>
      <c r="P20" s="650">
        <v>0</v>
      </c>
      <c r="Q20" s="650">
        <v>0</v>
      </c>
      <c r="R20" s="650">
        <v>0</v>
      </c>
      <c r="S20" s="650">
        <v>0</v>
      </c>
      <c r="T20" s="650">
        <v>0</v>
      </c>
      <c r="U20" s="650">
        <v>0</v>
      </c>
      <c r="V20" s="501"/>
    </row>
    <row r="21" spans="1:22">
      <c r="A21" s="492">
        <v>2.6</v>
      </c>
      <c r="B21" s="525" t="s">
        <v>650</v>
      </c>
      <c r="C21" s="653">
        <v>0</v>
      </c>
      <c r="D21" s="650">
        <v>0</v>
      </c>
      <c r="E21" s="650">
        <v>0</v>
      </c>
      <c r="F21" s="650">
        <v>0</v>
      </c>
      <c r="G21" s="650">
        <v>0</v>
      </c>
      <c r="H21" s="650">
        <v>0</v>
      </c>
      <c r="I21" s="650">
        <v>0</v>
      </c>
      <c r="J21" s="650">
        <v>0</v>
      </c>
      <c r="K21" s="650">
        <v>0</v>
      </c>
      <c r="L21" s="650">
        <v>0</v>
      </c>
      <c r="M21" s="650">
        <v>0</v>
      </c>
      <c r="N21" s="650">
        <v>0</v>
      </c>
      <c r="O21" s="650">
        <v>0</v>
      </c>
      <c r="P21" s="650">
        <v>0</v>
      </c>
      <c r="Q21" s="650">
        <v>0</v>
      </c>
      <c r="R21" s="650">
        <v>0</v>
      </c>
      <c r="S21" s="650">
        <v>0</v>
      </c>
      <c r="T21" s="650">
        <v>0</v>
      </c>
      <c r="U21" s="650">
        <v>0</v>
      </c>
      <c r="V21" s="501"/>
    </row>
    <row r="22" spans="1:22">
      <c r="A22" s="524">
        <v>3</v>
      </c>
      <c r="B22" s="484" t="s">
        <v>652</v>
      </c>
      <c r="C22" s="649">
        <v>74503127.330199957</v>
      </c>
      <c r="D22" s="650">
        <v>51604277.770199977</v>
      </c>
      <c r="E22" s="526"/>
      <c r="F22" s="526"/>
      <c r="G22" s="650">
        <v>0</v>
      </c>
      <c r="H22" s="526"/>
      <c r="I22" s="526"/>
      <c r="J22" s="526"/>
      <c r="K22" s="526"/>
      <c r="L22" s="650">
        <v>0</v>
      </c>
      <c r="M22" s="526"/>
      <c r="N22" s="526"/>
      <c r="O22" s="526"/>
      <c r="P22" s="526"/>
      <c r="Q22" s="526"/>
      <c r="R22" s="526"/>
      <c r="S22" s="526"/>
      <c r="T22" s="526"/>
      <c r="U22" s="650">
        <v>0</v>
      </c>
      <c r="V22" s="501"/>
    </row>
    <row r="23" spans="1:22">
      <c r="A23" s="492">
        <v>3.1</v>
      </c>
      <c r="B23" s="525" t="s">
        <v>645</v>
      </c>
      <c r="C23" s="653">
        <v>0</v>
      </c>
      <c r="D23" s="650">
        <v>0</v>
      </c>
      <c r="E23" s="526"/>
      <c r="F23" s="526"/>
      <c r="G23" s="650">
        <v>0</v>
      </c>
      <c r="H23" s="526"/>
      <c r="I23" s="526"/>
      <c r="J23" s="526"/>
      <c r="K23" s="526"/>
      <c r="L23" s="650">
        <v>0</v>
      </c>
      <c r="M23" s="526"/>
      <c r="N23" s="526"/>
      <c r="O23" s="526"/>
      <c r="P23" s="526"/>
      <c r="Q23" s="526"/>
      <c r="R23" s="526"/>
      <c r="S23" s="526"/>
      <c r="T23" s="526"/>
      <c r="U23" s="650">
        <v>0</v>
      </c>
      <c r="V23" s="501"/>
    </row>
    <row r="24" spans="1:22">
      <c r="A24" s="492">
        <v>3.2</v>
      </c>
      <c r="B24" s="525" t="s">
        <v>646</v>
      </c>
      <c r="C24" s="653">
        <v>0</v>
      </c>
      <c r="D24" s="650">
        <v>0</v>
      </c>
      <c r="E24" s="526"/>
      <c r="F24" s="526"/>
      <c r="G24" s="650">
        <v>0</v>
      </c>
      <c r="H24" s="526"/>
      <c r="I24" s="526"/>
      <c r="J24" s="526"/>
      <c r="K24" s="526"/>
      <c r="L24" s="650">
        <v>0</v>
      </c>
      <c r="M24" s="526"/>
      <c r="N24" s="526"/>
      <c r="O24" s="526"/>
      <c r="P24" s="526"/>
      <c r="Q24" s="526"/>
      <c r="R24" s="526"/>
      <c r="S24" s="526"/>
      <c r="T24" s="526"/>
      <c r="U24" s="650">
        <v>0</v>
      </c>
      <c r="V24" s="501"/>
    </row>
    <row r="25" spans="1:22">
      <c r="A25" s="492">
        <v>3.3</v>
      </c>
      <c r="B25" s="525" t="s">
        <v>647</v>
      </c>
      <c r="C25" s="653">
        <v>0</v>
      </c>
      <c r="D25" s="650">
        <v>0</v>
      </c>
      <c r="E25" s="526"/>
      <c r="F25" s="526"/>
      <c r="G25" s="650">
        <v>0</v>
      </c>
      <c r="H25" s="526"/>
      <c r="I25" s="526"/>
      <c r="J25" s="526"/>
      <c r="K25" s="526"/>
      <c r="L25" s="650">
        <v>0</v>
      </c>
      <c r="M25" s="526"/>
      <c r="N25" s="526"/>
      <c r="O25" s="526"/>
      <c r="P25" s="526"/>
      <c r="Q25" s="526"/>
      <c r="R25" s="526"/>
      <c r="S25" s="526"/>
      <c r="T25" s="526"/>
      <c r="U25" s="650">
        <v>0</v>
      </c>
      <c r="V25" s="501"/>
    </row>
    <row r="26" spans="1:22">
      <c r="A26" s="492">
        <v>3.4</v>
      </c>
      <c r="B26" s="525" t="s">
        <v>648</v>
      </c>
      <c r="C26" s="653">
        <v>1046867.13</v>
      </c>
      <c r="D26" s="650">
        <v>603015</v>
      </c>
      <c r="E26" s="526"/>
      <c r="F26" s="526"/>
      <c r="G26" s="650">
        <v>0</v>
      </c>
      <c r="H26" s="526"/>
      <c r="I26" s="526"/>
      <c r="J26" s="526"/>
      <c r="K26" s="526"/>
      <c r="L26" s="650">
        <v>0</v>
      </c>
      <c r="M26" s="526"/>
      <c r="N26" s="526"/>
      <c r="O26" s="526"/>
      <c r="P26" s="526"/>
      <c r="Q26" s="526"/>
      <c r="R26" s="526"/>
      <c r="S26" s="526"/>
      <c r="T26" s="526"/>
      <c r="U26" s="650">
        <v>0</v>
      </c>
      <c r="V26" s="501"/>
    </row>
    <row r="27" spans="1:22">
      <c r="A27" s="492">
        <v>3.5</v>
      </c>
      <c r="B27" s="525" t="s">
        <v>649</v>
      </c>
      <c r="C27" s="653">
        <v>73456260.200199962</v>
      </c>
      <c r="D27" s="650">
        <v>51001262.770199977</v>
      </c>
      <c r="E27" s="526"/>
      <c r="F27" s="526"/>
      <c r="G27" s="650">
        <v>660589.87</v>
      </c>
      <c r="H27" s="526"/>
      <c r="I27" s="526"/>
      <c r="J27" s="526"/>
      <c r="K27" s="526"/>
      <c r="L27" s="650">
        <v>45500</v>
      </c>
      <c r="M27" s="526"/>
      <c r="N27" s="526"/>
      <c r="O27" s="526"/>
      <c r="P27" s="526"/>
      <c r="Q27" s="526"/>
      <c r="R27" s="526"/>
      <c r="S27" s="526"/>
      <c r="T27" s="526"/>
      <c r="U27" s="650">
        <v>0</v>
      </c>
      <c r="V27" s="501"/>
    </row>
    <row r="28" spans="1:22">
      <c r="A28" s="492">
        <v>3.6</v>
      </c>
      <c r="B28" s="525" t="s">
        <v>650</v>
      </c>
      <c r="C28" s="653">
        <v>0</v>
      </c>
      <c r="D28" s="650">
        <v>0</v>
      </c>
      <c r="E28" s="526"/>
      <c r="F28" s="526"/>
      <c r="G28" s="650">
        <v>0</v>
      </c>
      <c r="H28" s="526"/>
      <c r="I28" s="526"/>
      <c r="J28" s="526"/>
      <c r="K28" s="526"/>
      <c r="L28" s="650">
        <v>0</v>
      </c>
      <c r="M28" s="526"/>
      <c r="N28" s="526"/>
      <c r="O28" s="526"/>
      <c r="P28" s="526"/>
      <c r="Q28" s="526"/>
      <c r="R28" s="526"/>
      <c r="S28" s="526"/>
      <c r="T28" s="526"/>
      <c r="U28" s="650">
        <v>0</v>
      </c>
      <c r="V28" s="501"/>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90" zoomScaleNormal="90" workbookViewId="0">
      <selection activeCell="B46" sqref="B46"/>
    </sheetView>
  </sheetViews>
  <sheetFormatPr defaultColWidth="9.140625" defaultRowHeight="12.75"/>
  <cols>
    <col min="1" max="1" width="11.85546875" style="477" bestFit="1" customWidth="1"/>
    <col min="2" max="2" width="90.28515625" style="477" bestFit="1" customWidth="1"/>
    <col min="3" max="3" width="20.140625" style="477" customWidth="1"/>
    <col min="4" max="4" width="22.28515625" style="477" customWidth="1"/>
    <col min="5" max="5" width="17.140625" style="477" customWidth="1"/>
    <col min="6" max="7" width="22.28515625" style="477" customWidth="1"/>
    <col min="8" max="8" width="17.140625" style="477" customWidth="1"/>
    <col min="9" max="14" width="22.28515625" style="477" customWidth="1"/>
    <col min="15" max="15" width="23.28515625" style="477" bestFit="1" customWidth="1"/>
    <col min="16" max="16" width="21.7109375" style="477" bestFit="1" customWidth="1"/>
    <col min="17" max="19" width="19" style="477" bestFit="1" customWidth="1"/>
    <col min="20" max="20" width="15.42578125" style="477" customWidth="1"/>
    <col min="21" max="21" width="20" style="477" customWidth="1"/>
    <col min="22" max="16384" width="9.140625" style="477"/>
  </cols>
  <sheetData>
    <row r="1" spans="1:21">
      <c r="A1" s="476" t="s">
        <v>188</v>
      </c>
    </row>
    <row r="2" spans="1:21">
      <c r="A2" s="478" t="s">
        <v>189</v>
      </c>
    </row>
    <row r="3" spans="1:21">
      <c r="A3" s="479" t="s">
        <v>653</v>
      </c>
      <c r="B3" s="480">
        <f>'1. key ratios'!B2</f>
        <v>44377</v>
      </c>
      <c r="C3" s="480"/>
    </row>
    <row r="4" spans="1:21">
      <c r="A4" s="479"/>
      <c r="B4" s="480"/>
      <c r="C4" s="480"/>
    </row>
    <row r="5" spans="1:21" s="499" customFormat="1" ht="13.5" customHeight="1">
      <c r="A5" s="755" t="s">
        <v>654</v>
      </c>
      <c r="B5" s="756"/>
      <c r="C5" s="761" t="s">
        <v>655</v>
      </c>
      <c r="D5" s="762"/>
      <c r="E5" s="762"/>
      <c r="F5" s="762"/>
      <c r="G5" s="762"/>
      <c r="H5" s="762"/>
      <c r="I5" s="762"/>
      <c r="J5" s="762"/>
      <c r="K5" s="762"/>
      <c r="L5" s="762"/>
      <c r="M5" s="762"/>
      <c r="N5" s="762"/>
      <c r="O5" s="762"/>
      <c r="P5" s="762"/>
      <c r="Q5" s="762"/>
      <c r="R5" s="762"/>
      <c r="S5" s="762"/>
      <c r="T5" s="763"/>
      <c r="U5" s="555"/>
    </row>
    <row r="6" spans="1:21" s="499" customFormat="1">
      <c r="A6" s="757"/>
      <c r="B6" s="758"/>
      <c r="C6" s="741" t="s">
        <v>68</v>
      </c>
      <c r="D6" s="761" t="s">
        <v>656</v>
      </c>
      <c r="E6" s="762"/>
      <c r="F6" s="763"/>
      <c r="G6" s="761" t="s">
        <v>657</v>
      </c>
      <c r="H6" s="762"/>
      <c r="I6" s="762"/>
      <c r="J6" s="762"/>
      <c r="K6" s="763"/>
      <c r="L6" s="764" t="s">
        <v>658</v>
      </c>
      <c r="M6" s="765"/>
      <c r="N6" s="765"/>
      <c r="O6" s="765"/>
      <c r="P6" s="765"/>
      <c r="Q6" s="765"/>
      <c r="R6" s="765"/>
      <c r="S6" s="765"/>
      <c r="T6" s="766"/>
      <c r="U6" s="551"/>
    </row>
    <row r="7" spans="1:21" s="499" customFormat="1" ht="25.5">
      <c r="A7" s="759"/>
      <c r="B7" s="760"/>
      <c r="C7" s="741"/>
      <c r="E7" s="541" t="s">
        <v>632</v>
      </c>
      <c r="F7" s="554" t="s">
        <v>633</v>
      </c>
      <c r="H7" s="541" t="s">
        <v>632</v>
      </c>
      <c r="I7" s="554" t="s">
        <v>659</v>
      </c>
      <c r="J7" s="554" t="s">
        <v>634</v>
      </c>
      <c r="K7" s="554" t="s">
        <v>635</v>
      </c>
      <c r="L7" s="556"/>
      <c r="M7" s="541" t="s">
        <v>636</v>
      </c>
      <c r="N7" s="554" t="s">
        <v>634</v>
      </c>
      <c r="O7" s="554" t="s">
        <v>637</v>
      </c>
      <c r="P7" s="554" t="s">
        <v>638</v>
      </c>
      <c r="Q7" s="554" t="s">
        <v>639</v>
      </c>
      <c r="R7" s="554" t="s">
        <v>640</v>
      </c>
      <c r="S7" s="554" t="s">
        <v>641</v>
      </c>
      <c r="T7" s="557" t="s">
        <v>642</v>
      </c>
      <c r="U7" s="555"/>
    </row>
    <row r="8" spans="1:21">
      <c r="A8" s="527">
        <v>1</v>
      </c>
      <c r="B8" s="516" t="s">
        <v>644</v>
      </c>
      <c r="C8" s="654">
        <v>949967386.12</v>
      </c>
      <c r="D8" s="650">
        <v>754097716.23000371</v>
      </c>
      <c r="E8" s="650">
        <v>13295291.549999993</v>
      </c>
      <c r="F8" s="650">
        <v>0</v>
      </c>
      <c r="G8" s="650">
        <v>131138791.9999999</v>
      </c>
      <c r="H8" s="650">
        <v>11492372.15</v>
      </c>
      <c r="I8" s="650">
        <v>3850755.74</v>
      </c>
      <c r="J8" s="650">
        <v>582500.28</v>
      </c>
      <c r="K8" s="650">
        <v>0</v>
      </c>
      <c r="L8" s="650">
        <v>64730877.889997944</v>
      </c>
      <c r="M8" s="650">
        <v>6983382.1599999992</v>
      </c>
      <c r="N8" s="650">
        <v>1931789.8099999998</v>
      </c>
      <c r="O8" s="650">
        <v>3926586.1899999995</v>
      </c>
      <c r="P8" s="650">
        <v>5607424.3200000003</v>
      </c>
      <c r="Q8" s="650">
        <v>3358433.94</v>
      </c>
      <c r="R8" s="650">
        <v>815093.82000000007</v>
      </c>
      <c r="S8" s="650">
        <v>0</v>
      </c>
      <c r="T8" s="650">
        <v>0</v>
      </c>
      <c r="U8" s="501"/>
    </row>
    <row r="9" spans="1:21">
      <c r="A9" s="525">
        <v>1.1000000000000001</v>
      </c>
      <c r="B9" s="525" t="s">
        <v>660</v>
      </c>
      <c r="C9" s="653">
        <v>904333599.66999924</v>
      </c>
      <c r="D9" s="650">
        <v>712255675.89999986</v>
      </c>
      <c r="E9" s="650">
        <v>12866130.039999995</v>
      </c>
      <c r="F9" s="650">
        <v>0</v>
      </c>
      <c r="G9" s="650">
        <v>129901340.48999995</v>
      </c>
      <c r="H9" s="650">
        <v>11276418.369999997</v>
      </c>
      <c r="I9" s="650">
        <v>3752596.25</v>
      </c>
      <c r="J9" s="650">
        <v>582500.28</v>
      </c>
      <c r="K9" s="650">
        <v>0</v>
      </c>
      <c r="L9" s="650">
        <v>62176583.280000016</v>
      </c>
      <c r="M9" s="650">
        <v>6726752.1399999997</v>
      </c>
      <c r="N9" s="650">
        <v>1849376.3599999999</v>
      </c>
      <c r="O9" s="650">
        <v>3643636.74</v>
      </c>
      <c r="P9" s="650">
        <v>4971502.3900000006</v>
      </c>
      <c r="Q9" s="650">
        <v>3344967.04</v>
      </c>
      <c r="R9" s="650">
        <v>815093.82000000007</v>
      </c>
      <c r="S9" s="650">
        <v>0</v>
      </c>
      <c r="T9" s="650">
        <v>0</v>
      </c>
      <c r="U9" s="501"/>
    </row>
    <row r="10" spans="1:21">
      <c r="A10" s="528" t="s">
        <v>252</v>
      </c>
      <c r="B10" s="528" t="s">
        <v>661</v>
      </c>
      <c r="C10" s="655">
        <v>839794803.28999901</v>
      </c>
      <c r="D10" s="650">
        <v>648320135.94999957</v>
      </c>
      <c r="E10" s="650">
        <v>12844850.649999995</v>
      </c>
      <c r="F10" s="650">
        <v>0</v>
      </c>
      <c r="G10" s="650">
        <v>129740341.04999995</v>
      </c>
      <c r="H10" s="650">
        <v>11117174.370000001</v>
      </c>
      <c r="I10" s="650">
        <v>3752596.25</v>
      </c>
      <c r="J10" s="650">
        <v>582500.28</v>
      </c>
      <c r="K10" s="650">
        <v>0</v>
      </c>
      <c r="L10" s="650">
        <v>61734326.290000021</v>
      </c>
      <c r="M10" s="650">
        <v>6671864.3699999992</v>
      </c>
      <c r="N10" s="650">
        <v>1849376.3599999999</v>
      </c>
      <c r="O10" s="650">
        <v>3643636.74</v>
      </c>
      <c r="P10" s="650">
        <v>4908606.1100000003</v>
      </c>
      <c r="Q10" s="650">
        <v>3307613.53</v>
      </c>
      <c r="R10" s="650">
        <v>815093.82000000007</v>
      </c>
      <c r="S10" s="650">
        <v>0</v>
      </c>
      <c r="T10" s="650">
        <v>0</v>
      </c>
      <c r="U10" s="501"/>
    </row>
    <row r="11" spans="1:21">
      <c r="A11" s="529" t="s">
        <v>662</v>
      </c>
      <c r="B11" s="530" t="s">
        <v>663</v>
      </c>
      <c r="C11" s="656">
        <v>495594048.91000217</v>
      </c>
      <c r="D11" s="650">
        <v>395789180.72000104</v>
      </c>
      <c r="E11" s="650">
        <v>6158234.8599999994</v>
      </c>
      <c r="F11" s="650">
        <v>0</v>
      </c>
      <c r="G11" s="650">
        <v>68732377.419999942</v>
      </c>
      <c r="H11" s="650">
        <v>7225531.6999999993</v>
      </c>
      <c r="I11" s="650">
        <v>2453487.6599999997</v>
      </c>
      <c r="J11" s="650">
        <v>582500.28</v>
      </c>
      <c r="K11" s="650">
        <v>0</v>
      </c>
      <c r="L11" s="650">
        <v>31072490.769999988</v>
      </c>
      <c r="M11" s="650">
        <v>4657609.3800000008</v>
      </c>
      <c r="N11" s="650">
        <v>869497.35</v>
      </c>
      <c r="O11" s="650">
        <v>1413895.2799999998</v>
      </c>
      <c r="P11" s="650">
        <v>1713986.69</v>
      </c>
      <c r="Q11" s="650">
        <v>2385274.61</v>
      </c>
      <c r="R11" s="650">
        <v>393497.54000000004</v>
      </c>
      <c r="S11" s="650">
        <v>0</v>
      </c>
      <c r="T11" s="650">
        <v>0</v>
      </c>
      <c r="U11" s="501"/>
    </row>
    <row r="12" spans="1:21">
      <c r="A12" s="529" t="s">
        <v>664</v>
      </c>
      <c r="B12" s="530" t="s">
        <v>665</v>
      </c>
      <c r="C12" s="656">
        <v>223362233.53000006</v>
      </c>
      <c r="D12" s="650">
        <v>161113982.69</v>
      </c>
      <c r="E12" s="650">
        <v>3394750.07</v>
      </c>
      <c r="F12" s="650">
        <v>0</v>
      </c>
      <c r="G12" s="650">
        <v>42906535.089999996</v>
      </c>
      <c r="H12" s="650">
        <v>2525606.65</v>
      </c>
      <c r="I12" s="650">
        <v>453210.79</v>
      </c>
      <c r="J12" s="650">
        <v>0</v>
      </c>
      <c r="K12" s="650">
        <v>0</v>
      </c>
      <c r="L12" s="650">
        <v>19341715.750000004</v>
      </c>
      <c r="M12" s="650">
        <v>1563117.8199999998</v>
      </c>
      <c r="N12" s="650">
        <v>95355.23</v>
      </c>
      <c r="O12" s="650">
        <v>171486.28</v>
      </c>
      <c r="P12" s="650">
        <v>2077621.73</v>
      </c>
      <c r="Q12" s="650">
        <v>529874.71</v>
      </c>
      <c r="R12" s="650">
        <v>385599.11</v>
      </c>
      <c r="S12" s="650">
        <v>0</v>
      </c>
      <c r="T12" s="650">
        <v>0</v>
      </c>
      <c r="U12" s="501"/>
    </row>
    <row r="13" spans="1:21">
      <c r="A13" s="529" t="s">
        <v>666</v>
      </c>
      <c r="B13" s="530" t="s">
        <v>667</v>
      </c>
      <c r="C13" s="656">
        <v>54169950.900000028</v>
      </c>
      <c r="D13" s="650">
        <v>34812943.50999999</v>
      </c>
      <c r="E13" s="650">
        <v>906267.35000000009</v>
      </c>
      <c r="F13" s="650">
        <v>0</v>
      </c>
      <c r="G13" s="650">
        <v>13393664.759999998</v>
      </c>
      <c r="H13" s="650">
        <v>1332800</v>
      </c>
      <c r="I13" s="650">
        <v>326654.71000000002</v>
      </c>
      <c r="J13" s="650">
        <v>0</v>
      </c>
      <c r="K13" s="650">
        <v>0</v>
      </c>
      <c r="L13" s="650">
        <v>5963342.6299999999</v>
      </c>
      <c r="M13" s="650">
        <v>233877.23</v>
      </c>
      <c r="N13" s="650">
        <v>884523.78</v>
      </c>
      <c r="O13" s="650">
        <v>865601.38000000012</v>
      </c>
      <c r="P13" s="650">
        <v>0</v>
      </c>
      <c r="Q13" s="650">
        <v>0</v>
      </c>
      <c r="R13" s="650">
        <v>0</v>
      </c>
      <c r="S13" s="650">
        <v>0</v>
      </c>
      <c r="T13" s="650">
        <v>0</v>
      </c>
      <c r="U13" s="501"/>
    </row>
    <row r="14" spans="1:21">
      <c r="A14" s="529" t="s">
        <v>668</v>
      </c>
      <c r="B14" s="530" t="s">
        <v>669</v>
      </c>
      <c r="C14" s="656">
        <v>66668569.950000055</v>
      </c>
      <c r="D14" s="650">
        <v>56604029.030000038</v>
      </c>
      <c r="E14" s="650">
        <v>2385598.37</v>
      </c>
      <c r="F14" s="650">
        <v>0</v>
      </c>
      <c r="G14" s="650">
        <v>4707763.7799999993</v>
      </c>
      <c r="H14" s="650">
        <v>33236.020000000004</v>
      </c>
      <c r="I14" s="650">
        <v>519243.08999999997</v>
      </c>
      <c r="J14" s="650">
        <v>0</v>
      </c>
      <c r="K14" s="650">
        <v>0</v>
      </c>
      <c r="L14" s="650">
        <v>5356777.1399999997</v>
      </c>
      <c r="M14" s="650">
        <v>217259.94</v>
      </c>
      <c r="N14" s="650">
        <v>0</v>
      </c>
      <c r="O14" s="650">
        <v>1192653.8</v>
      </c>
      <c r="P14" s="650">
        <v>1116997.6900000002</v>
      </c>
      <c r="Q14" s="650">
        <v>392464.20999999996</v>
      </c>
      <c r="R14" s="650">
        <v>35997.17</v>
      </c>
      <c r="S14" s="650">
        <v>0</v>
      </c>
      <c r="T14" s="650">
        <v>0</v>
      </c>
      <c r="U14" s="501"/>
    </row>
    <row r="15" spans="1:21">
      <c r="A15" s="531">
        <v>1.2</v>
      </c>
      <c r="B15" s="532" t="s">
        <v>670</v>
      </c>
      <c r="C15" s="657">
        <v>49349583.129999876</v>
      </c>
      <c r="D15" s="650">
        <v>13974711.619999994</v>
      </c>
      <c r="E15" s="650">
        <v>257322.54999999996</v>
      </c>
      <c r="F15" s="650">
        <v>0</v>
      </c>
      <c r="G15" s="650">
        <v>12990134.660000004</v>
      </c>
      <c r="H15" s="650">
        <v>1127641.9099999999</v>
      </c>
      <c r="I15" s="650">
        <v>375259.59999999992</v>
      </c>
      <c r="J15" s="650">
        <v>58250.039999999994</v>
      </c>
      <c r="K15" s="650">
        <v>0</v>
      </c>
      <c r="L15" s="650">
        <v>22384736.850000009</v>
      </c>
      <c r="M15" s="650">
        <v>2307198.2999999998</v>
      </c>
      <c r="N15" s="650">
        <v>572864.47</v>
      </c>
      <c r="O15" s="650">
        <v>1456253.41</v>
      </c>
      <c r="P15" s="650">
        <v>2642206.5299999998</v>
      </c>
      <c r="Q15" s="650">
        <v>1675849.8399999996</v>
      </c>
      <c r="R15" s="650">
        <v>589300.47999999998</v>
      </c>
      <c r="S15" s="650">
        <v>0</v>
      </c>
      <c r="T15" s="650">
        <v>0</v>
      </c>
      <c r="U15" s="501"/>
    </row>
    <row r="16" spans="1:21">
      <c r="A16" s="533">
        <v>1.3</v>
      </c>
      <c r="B16" s="532" t="s">
        <v>671</v>
      </c>
      <c r="C16" s="534"/>
      <c r="D16" s="534"/>
      <c r="E16" s="534"/>
      <c r="F16" s="534"/>
      <c r="G16" s="534"/>
      <c r="H16" s="534"/>
      <c r="I16" s="534"/>
      <c r="J16" s="534"/>
      <c r="K16" s="534"/>
      <c r="L16" s="534"/>
      <c r="M16" s="534"/>
      <c r="N16" s="534"/>
      <c r="O16" s="534"/>
      <c r="P16" s="534"/>
      <c r="Q16" s="534"/>
      <c r="R16" s="534"/>
      <c r="S16" s="534"/>
      <c r="T16" s="534"/>
      <c r="U16" s="501"/>
    </row>
    <row r="17" spans="1:21" s="499" customFormat="1" ht="25.5">
      <c r="A17" s="535" t="s">
        <v>672</v>
      </c>
      <c r="B17" s="536" t="s">
        <v>673</v>
      </c>
      <c r="C17" s="658">
        <v>893451604.08999979</v>
      </c>
      <c r="D17" s="651">
        <v>702275721.16000056</v>
      </c>
      <c r="E17" s="651">
        <v>12788664.579999994</v>
      </c>
      <c r="F17" s="651">
        <v>0</v>
      </c>
      <c r="G17" s="651">
        <v>129458015.07999997</v>
      </c>
      <c r="H17" s="651">
        <v>11244973.859999999</v>
      </c>
      <c r="I17" s="651">
        <v>3752596.24</v>
      </c>
      <c r="J17" s="651">
        <v>582500.28</v>
      </c>
      <c r="K17" s="651">
        <v>0</v>
      </c>
      <c r="L17" s="651">
        <v>61717867.850000016</v>
      </c>
      <c r="M17" s="651">
        <v>6678184.9699999997</v>
      </c>
      <c r="N17" s="651">
        <v>1849376.3599999999</v>
      </c>
      <c r="O17" s="651">
        <v>3576072.3499999996</v>
      </c>
      <c r="P17" s="651">
        <v>4901392.43</v>
      </c>
      <c r="Q17" s="651">
        <v>3334821.46</v>
      </c>
      <c r="R17" s="651">
        <v>804379.05</v>
      </c>
      <c r="S17" s="651">
        <v>0</v>
      </c>
      <c r="T17" s="651">
        <v>0</v>
      </c>
      <c r="U17" s="505"/>
    </row>
    <row r="18" spans="1:21" s="499" customFormat="1" ht="25.5">
      <c r="A18" s="537" t="s">
        <v>674</v>
      </c>
      <c r="B18" s="537" t="s">
        <v>675</v>
      </c>
      <c r="C18" s="659">
        <v>811236792.91000044</v>
      </c>
      <c r="D18" s="651">
        <v>623322698.3900007</v>
      </c>
      <c r="E18" s="651">
        <v>12347683.429999994</v>
      </c>
      <c r="F18" s="651">
        <v>0</v>
      </c>
      <c r="G18" s="651">
        <v>127857193.50999999</v>
      </c>
      <c r="H18" s="651">
        <v>11090464.300000001</v>
      </c>
      <c r="I18" s="651">
        <v>3542966.7800000003</v>
      </c>
      <c r="J18" s="651">
        <v>582500.28</v>
      </c>
      <c r="K18" s="651">
        <v>0</v>
      </c>
      <c r="L18" s="651">
        <v>60056901.01000002</v>
      </c>
      <c r="M18" s="651">
        <v>6499139.5700000003</v>
      </c>
      <c r="N18" s="651">
        <v>1849376.3599999999</v>
      </c>
      <c r="O18" s="651">
        <v>3197252.76</v>
      </c>
      <c r="P18" s="651">
        <v>4574692.4399999985</v>
      </c>
      <c r="Q18" s="651">
        <v>3294142.3000000003</v>
      </c>
      <c r="R18" s="651">
        <v>804379.05</v>
      </c>
      <c r="S18" s="651">
        <v>0</v>
      </c>
      <c r="T18" s="651">
        <v>0</v>
      </c>
      <c r="U18" s="505"/>
    </row>
    <row r="19" spans="1:21" s="499" customFormat="1">
      <c r="A19" s="535" t="s">
        <v>676</v>
      </c>
      <c r="B19" s="538" t="s">
        <v>677</v>
      </c>
      <c r="C19" s="660">
        <v>885124706.33000112</v>
      </c>
      <c r="D19" s="651">
        <v>718493888.76999986</v>
      </c>
      <c r="E19" s="651">
        <v>12387366.089999994</v>
      </c>
      <c r="F19" s="651">
        <v>0</v>
      </c>
      <c r="G19" s="651">
        <v>109167807.77999987</v>
      </c>
      <c r="H19" s="651">
        <v>10241133.029999999</v>
      </c>
      <c r="I19" s="651">
        <v>2995204.77</v>
      </c>
      <c r="J19" s="651">
        <v>1016176.3700000001</v>
      </c>
      <c r="K19" s="651">
        <v>0</v>
      </c>
      <c r="L19" s="651">
        <v>57463009.780000001</v>
      </c>
      <c r="M19" s="651">
        <v>9467371.1899999995</v>
      </c>
      <c r="N19" s="651">
        <v>1371570.9599999997</v>
      </c>
      <c r="O19" s="651">
        <v>3426513.25</v>
      </c>
      <c r="P19" s="651">
        <v>3987008.63</v>
      </c>
      <c r="Q19" s="651">
        <v>3963004.5900000012</v>
      </c>
      <c r="R19" s="651">
        <v>842137.26</v>
      </c>
      <c r="S19" s="651">
        <v>0</v>
      </c>
      <c r="T19" s="651">
        <v>0</v>
      </c>
      <c r="U19" s="505"/>
    </row>
    <row r="20" spans="1:21" s="499" customFormat="1">
      <c r="A20" s="537" t="s">
        <v>678</v>
      </c>
      <c r="B20" s="537" t="s">
        <v>679</v>
      </c>
      <c r="C20" s="659">
        <v>801043479.13000178</v>
      </c>
      <c r="D20" s="651">
        <v>641148870.43000031</v>
      </c>
      <c r="E20" s="651">
        <v>10780370.019999998</v>
      </c>
      <c r="F20" s="651">
        <v>0</v>
      </c>
      <c r="G20" s="651">
        <v>105855345.03999989</v>
      </c>
      <c r="H20" s="651">
        <v>8540100.5</v>
      </c>
      <c r="I20" s="651">
        <v>2540006.29</v>
      </c>
      <c r="J20" s="651">
        <v>1016176.3700000001</v>
      </c>
      <c r="K20" s="651">
        <v>0</v>
      </c>
      <c r="L20" s="651">
        <v>54039263.659999989</v>
      </c>
      <c r="M20" s="651">
        <v>9264618.0600000024</v>
      </c>
      <c r="N20" s="651">
        <v>1120915.77</v>
      </c>
      <c r="O20" s="651">
        <v>2818372.6299999994</v>
      </c>
      <c r="P20" s="651">
        <v>3792528.13</v>
      </c>
      <c r="Q20" s="651">
        <v>3632031.47</v>
      </c>
      <c r="R20" s="651">
        <v>763129.76</v>
      </c>
      <c r="S20" s="651">
        <v>0</v>
      </c>
      <c r="T20" s="651">
        <v>0</v>
      </c>
      <c r="U20" s="505"/>
    </row>
    <row r="21" spans="1:21" s="499" customFormat="1">
      <c r="A21" s="539">
        <v>1.4</v>
      </c>
      <c r="B21" s="549" t="s">
        <v>712</v>
      </c>
      <c r="C21" s="661">
        <v>5430937.8719999995</v>
      </c>
      <c r="D21" s="651">
        <v>5404328.9839999992</v>
      </c>
      <c r="E21" s="651">
        <v>239704.45800000001</v>
      </c>
      <c r="F21" s="651">
        <v>0</v>
      </c>
      <c r="G21" s="651">
        <v>26608.887999999999</v>
      </c>
      <c r="H21" s="651">
        <v>0</v>
      </c>
      <c r="I21" s="651">
        <v>0</v>
      </c>
      <c r="J21" s="651">
        <v>0</v>
      </c>
      <c r="K21" s="651">
        <v>0</v>
      </c>
      <c r="L21" s="651">
        <v>0</v>
      </c>
      <c r="M21" s="651">
        <v>0</v>
      </c>
      <c r="N21" s="651">
        <v>0</v>
      </c>
      <c r="O21" s="651">
        <v>0</v>
      </c>
      <c r="P21" s="651">
        <v>0</v>
      </c>
      <c r="Q21" s="651">
        <v>0</v>
      </c>
      <c r="R21" s="651">
        <v>0</v>
      </c>
      <c r="S21" s="651">
        <v>0</v>
      </c>
      <c r="T21" s="651">
        <v>0</v>
      </c>
      <c r="U21" s="505"/>
    </row>
    <row r="22" spans="1:21" s="499" customFormat="1">
      <c r="A22" s="539">
        <v>1.5</v>
      </c>
      <c r="B22" s="549" t="s">
        <v>713</v>
      </c>
      <c r="C22" s="661">
        <v>0</v>
      </c>
      <c r="D22" s="651">
        <v>0</v>
      </c>
      <c r="E22" s="651">
        <v>0</v>
      </c>
      <c r="F22" s="651">
        <v>0</v>
      </c>
      <c r="G22" s="651">
        <v>0</v>
      </c>
      <c r="H22" s="651">
        <v>0</v>
      </c>
      <c r="I22" s="651">
        <v>0</v>
      </c>
      <c r="J22" s="651">
        <v>0</v>
      </c>
      <c r="K22" s="651">
        <v>0</v>
      </c>
      <c r="L22" s="651">
        <v>0</v>
      </c>
      <c r="M22" s="651">
        <v>0</v>
      </c>
      <c r="N22" s="651">
        <v>0</v>
      </c>
      <c r="O22" s="651">
        <v>0</v>
      </c>
      <c r="P22" s="651">
        <v>0</v>
      </c>
      <c r="Q22" s="651">
        <v>0</v>
      </c>
      <c r="R22" s="651">
        <v>0</v>
      </c>
      <c r="S22" s="651">
        <v>0</v>
      </c>
      <c r="T22" s="651">
        <v>0</v>
      </c>
      <c r="U22" s="505"/>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B3" zoomScale="90" zoomScaleNormal="90" workbookViewId="0">
      <selection activeCell="C8" sqref="C8:H22"/>
    </sheetView>
  </sheetViews>
  <sheetFormatPr defaultColWidth="9.140625" defaultRowHeight="12.75"/>
  <cols>
    <col min="1" max="1" width="11.85546875" style="477" bestFit="1" customWidth="1"/>
    <col min="2" max="2" width="93.42578125" style="477" customWidth="1"/>
    <col min="3" max="3" width="16.5703125" style="477" bestFit="1" customWidth="1"/>
    <col min="4" max="4" width="15.42578125" style="477" bestFit="1" customWidth="1"/>
    <col min="5" max="5" width="15" style="477" bestFit="1" customWidth="1"/>
    <col min="6" max="6" width="18" style="544" bestFit="1" customWidth="1"/>
    <col min="7" max="7" width="13.85546875" style="544" bestFit="1" customWidth="1"/>
    <col min="8" max="8" width="13.42578125" style="477" bestFit="1" customWidth="1"/>
    <col min="9" max="9" width="11.5703125" style="477" bestFit="1" customWidth="1"/>
    <col min="10" max="10" width="14.85546875" style="544" bestFit="1" customWidth="1"/>
    <col min="11" max="11" width="13.85546875" style="544" bestFit="1" customWidth="1"/>
    <col min="12" max="12" width="18" style="544" bestFit="1" customWidth="1"/>
    <col min="13" max="13" width="13.7109375" style="544" bestFit="1" customWidth="1"/>
    <col min="14" max="14" width="13.42578125" style="544" bestFit="1" customWidth="1"/>
    <col min="15" max="15" width="19" style="477" bestFit="1" customWidth="1"/>
    <col min="16" max="16384" width="9.140625" style="477"/>
  </cols>
  <sheetData>
    <row r="1" spans="1:15">
      <c r="A1" s="476" t="s">
        <v>188</v>
      </c>
      <c r="F1" s="477"/>
      <c r="G1" s="477"/>
      <c r="J1" s="477"/>
      <c r="K1" s="477"/>
      <c r="L1" s="477"/>
      <c r="M1" s="477"/>
      <c r="N1" s="477"/>
    </row>
    <row r="2" spans="1:15">
      <c r="A2" s="478" t="s">
        <v>189</v>
      </c>
      <c r="F2" s="477"/>
      <c r="G2" s="477"/>
      <c r="J2" s="477"/>
      <c r="K2" s="477"/>
      <c r="L2" s="477"/>
      <c r="M2" s="477"/>
      <c r="N2" s="477"/>
    </row>
    <row r="3" spans="1:15">
      <c r="A3" s="479" t="s">
        <v>682</v>
      </c>
      <c r="B3" s="480">
        <f>'1. key ratios'!B2</f>
        <v>44377</v>
      </c>
      <c r="F3" s="477"/>
      <c r="G3" s="477"/>
      <c r="J3" s="477"/>
      <c r="K3" s="477"/>
      <c r="L3" s="477"/>
      <c r="M3" s="477"/>
      <c r="N3" s="477"/>
    </row>
    <row r="4" spans="1:15">
      <c r="F4" s="477"/>
      <c r="G4" s="477"/>
      <c r="J4" s="477"/>
      <c r="K4" s="477"/>
      <c r="L4" s="477"/>
      <c r="M4" s="477"/>
      <c r="N4" s="477"/>
    </row>
    <row r="5" spans="1:15" ht="37.5" customHeight="1">
      <c r="A5" s="721" t="s">
        <v>683</v>
      </c>
      <c r="B5" s="722"/>
      <c r="C5" s="767" t="s">
        <v>684</v>
      </c>
      <c r="D5" s="768"/>
      <c r="E5" s="768"/>
      <c r="F5" s="768"/>
      <c r="G5" s="768"/>
      <c r="H5" s="769"/>
      <c r="I5" s="770" t="s">
        <v>685</v>
      </c>
      <c r="J5" s="771"/>
      <c r="K5" s="771"/>
      <c r="L5" s="771"/>
      <c r="M5" s="771"/>
      <c r="N5" s="772"/>
      <c r="O5" s="773" t="s">
        <v>555</v>
      </c>
    </row>
    <row r="6" spans="1:15" ht="39.6" customHeight="1">
      <c r="A6" s="725"/>
      <c r="B6" s="726"/>
      <c r="C6" s="540"/>
      <c r="D6" s="541" t="s">
        <v>686</v>
      </c>
      <c r="E6" s="541" t="s">
        <v>687</v>
      </c>
      <c r="F6" s="541" t="s">
        <v>688</v>
      </c>
      <c r="G6" s="541" t="s">
        <v>689</v>
      </c>
      <c r="H6" s="541" t="s">
        <v>690</v>
      </c>
      <c r="I6" s="542"/>
      <c r="J6" s="541" t="s">
        <v>686</v>
      </c>
      <c r="K6" s="541" t="s">
        <v>687</v>
      </c>
      <c r="L6" s="541" t="s">
        <v>688</v>
      </c>
      <c r="M6" s="541" t="s">
        <v>689</v>
      </c>
      <c r="N6" s="541" t="s">
        <v>690</v>
      </c>
      <c r="O6" s="774"/>
    </row>
    <row r="7" spans="1:15" ht="15">
      <c r="A7" s="492">
        <v>1</v>
      </c>
      <c r="B7" s="500" t="s">
        <v>565</v>
      </c>
      <c r="C7" s="666">
        <v>67406763.936600015</v>
      </c>
      <c r="D7" s="667">
        <v>61827059.282300003</v>
      </c>
      <c r="E7" s="667">
        <v>2195179.5171000003</v>
      </c>
      <c r="F7" s="667">
        <v>2620711.9869999997</v>
      </c>
      <c r="G7" s="667">
        <v>511501.22479999997</v>
      </c>
      <c r="H7" s="667">
        <v>252311.92539999998</v>
      </c>
      <c r="I7" s="668">
        <v>2750335.9603999997</v>
      </c>
      <c r="J7" s="667">
        <v>1236541.5763999999</v>
      </c>
      <c r="K7" s="667">
        <v>219518.05049999998</v>
      </c>
      <c r="L7" s="667">
        <v>786213.68819999998</v>
      </c>
      <c r="M7" s="667">
        <v>255750.71989999997</v>
      </c>
      <c r="N7" s="667">
        <v>252311.92539999998</v>
      </c>
      <c r="O7" s="667">
        <v>0</v>
      </c>
    </row>
    <row r="8" spans="1:15">
      <c r="A8" s="492">
        <v>2</v>
      </c>
      <c r="B8" s="500" t="s">
        <v>566</v>
      </c>
      <c r="C8" s="662">
        <v>30544756.832599998</v>
      </c>
      <c r="D8" s="650">
        <v>28828444.019899998</v>
      </c>
      <c r="E8" s="650">
        <v>776440.45310000004</v>
      </c>
      <c r="F8" s="663">
        <v>732716.18479999993</v>
      </c>
      <c r="G8" s="663">
        <v>70915.338099999994</v>
      </c>
      <c r="H8" s="650">
        <v>136240.83670000001</v>
      </c>
      <c r="I8" s="650">
        <v>1045660.3964999999</v>
      </c>
      <c r="J8" s="663">
        <v>576502.95369999995</v>
      </c>
      <c r="K8" s="663">
        <v>77644.067099999986</v>
      </c>
      <c r="L8" s="663">
        <v>219814.86489999999</v>
      </c>
      <c r="M8" s="663">
        <v>35457.674099999997</v>
      </c>
      <c r="N8" s="663">
        <v>136240.83670000001</v>
      </c>
      <c r="O8" s="650">
        <v>0</v>
      </c>
    </row>
    <row r="9" spans="1:15">
      <c r="A9" s="492">
        <v>3</v>
      </c>
      <c r="B9" s="500" t="s">
        <v>567</v>
      </c>
      <c r="C9" s="662">
        <v>23571335.349100001</v>
      </c>
      <c r="D9" s="650">
        <v>23492550.9663</v>
      </c>
      <c r="E9" s="650">
        <v>78784.382800000007</v>
      </c>
      <c r="F9" s="664">
        <v>0</v>
      </c>
      <c r="G9" s="664">
        <v>0</v>
      </c>
      <c r="H9" s="650">
        <v>0</v>
      </c>
      <c r="I9" s="650">
        <v>477729.46919999999</v>
      </c>
      <c r="J9" s="664">
        <v>469851.03090000001</v>
      </c>
      <c r="K9" s="664">
        <v>7878.4382999999998</v>
      </c>
      <c r="L9" s="664">
        <v>0</v>
      </c>
      <c r="M9" s="664">
        <v>0</v>
      </c>
      <c r="N9" s="664">
        <v>0</v>
      </c>
      <c r="O9" s="650">
        <v>0</v>
      </c>
    </row>
    <row r="10" spans="1:15">
      <c r="A10" s="492">
        <v>4</v>
      </c>
      <c r="B10" s="500" t="s">
        <v>568</v>
      </c>
      <c r="C10" s="662">
        <v>73776583.770799994</v>
      </c>
      <c r="D10" s="650">
        <v>62655113.504600011</v>
      </c>
      <c r="E10" s="650">
        <v>10939171.559</v>
      </c>
      <c r="F10" s="664">
        <v>182234.73050000001</v>
      </c>
      <c r="G10" s="664">
        <v>0</v>
      </c>
      <c r="H10" s="650">
        <v>63.976700000000001</v>
      </c>
      <c r="I10" s="650">
        <v>2401753.8572</v>
      </c>
      <c r="J10" s="664">
        <v>1253102.2564000001</v>
      </c>
      <c r="K10" s="664">
        <v>1093917.2175999999</v>
      </c>
      <c r="L10" s="664">
        <v>54670.406500000005</v>
      </c>
      <c r="M10" s="664">
        <v>0</v>
      </c>
      <c r="N10" s="664">
        <v>63.976700000000001</v>
      </c>
      <c r="O10" s="650">
        <v>0</v>
      </c>
    </row>
    <row r="11" spans="1:15">
      <c r="A11" s="492">
        <v>5</v>
      </c>
      <c r="B11" s="500" t="s">
        <v>569</v>
      </c>
      <c r="C11" s="662">
        <v>89396474.454000026</v>
      </c>
      <c r="D11" s="650">
        <v>55775567.176800013</v>
      </c>
      <c r="E11" s="650">
        <v>24540017.202799998</v>
      </c>
      <c r="F11" s="664">
        <v>6907397.8031000001</v>
      </c>
      <c r="G11" s="664">
        <v>2173141.7212999999</v>
      </c>
      <c r="H11" s="650">
        <v>350.55</v>
      </c>
      <c r="I11" s="650">
        <v>6728653.9593000002</v>
      </c>
      <c r="J11" s="664">
        <v>1115511.3715000001</v>
      </c>
      <c r="K11" s="664">
        <v>2454001.7659999998</v>
      </c>
      <c r="L11" s="664">
        <v>2072219.4061999999</v>
      </c>
      <c r="M11" s="664">
        <v>1086570.8656000001</v>
      </c>
      <c r="N11" s="664">
        <v>350.55</v>
      </c>
      <c r="O11" s="650">
        <v>0</v>
      </c>
    </row>
    <row r="12" spans="1:15">
      <c r="A12" s="492">
        <v>6</v>
      </c>
      <c r="B12" s="500" t="s">
        <v>570</v>
      </c>
      <c r="C12" s="662">
        <v>36018961.888800003</v>
      </c>
      <c r="D12" s="650">
        <v>31786507.114500001</v>
      </c>
      <c r="E12" s="650">
        <v>3350615.5157000003</v>
      </c>
      <c r="F12" s="664">
        <v>481262.83510000003</v>
      </c>
      <c r="G12" s="664">
        <v>373890.6335</v>
      </c>
      <c r="H12" s="650">
        <v>26685.79</v>
      </c>
      <c r="I12" s="650">
        <v>1328801.7195000001</v>
      </c>
      <c r="J12" s="664">
        <v>635730.15220000001</v>
      </c>
      <c r="K12" s="664">
        <v>335061.55650000001</v>
      </c>
      <c r="L12" s="664">
        <v>144378.8683</v>
      </c>
      <c r="M12" s="664">
        <v>186945.35250000001</v>
      </c>
      <c r="N12" s="664">
        <v>26685.79</v>
      </c>
      <c r="O12" s="650">
        <v>0</v>
      </c>
    </row>
    <row r="13" spans="1:15">
      <c r="A13" s="492">
        <v>7</v>
      </c>
      <c r="B13" s="500" t="s">
        <v>571</v>
      </c>
      <c r="C13" s="662">
        <v>38529851.911899999</v>
      </c>
      <c r="D13" s="650">
        <v>36989780.249200001</v>
      </c>
      <c r="E13" s="650">
        <v>1540071.6627000002</v>
      </c>
      <c r="F13" s="664">
        <v>0</v>
      </c>
      <c r="G13" s="664">
        <v>0</v>
      </c>
      <c r="H13" s="650">
        <v>0</v>
      </c>
      <c r="I13" s="650">
        <v>893802.81469999999</v>
      </c>
      <c r="J13" s="664">
        <v>739795.65260000003</v>
      </c>
      <c r="K13" s="664">
        <v>154007.16209999999</v>
      </c>
      <c r="L13" s="664">
        <v>0</v>
      </c>
      <c r="M13" s="664">
        <v>0</v>
      </c>
      <c r="N13" s="664">
        <v>0</v>
      </c>
      <c r="O13" s="650">
        <v>0</v>
      </c>
    </row>
    <row r="14" spans="1:15">
      <c r="A14" s="492">
        <v>8</v>
      </c>
      <c r="B14" s="500" t="s">
        <v>572</v>
      </c>
      <c r="C14" s="662">
        <v>56505113.443399996</v>
      </c>
      <c r="D14" s="650">
        <v>51986463.119999997</v>
      </c>
      <c r="E14" s="650">
        <v>2434551.4240000001</v>
      </c>
      <c r="F14" s="664">
        <v>1861490.3594</v>
      </c>
      <c r="G14" s="664">
        <v>171366.29</v>
      </c>
      <c r="H14" s="650">
        <v>51242.25</v>
      </c>
      <c r="I14" s="650">
        <v>1978556.9220999999</v>
      </c>
      <c r="J14" s="664">
        <v>1039729.3096</v>
      </c>
      <c r="K14" s="664">
        <v>243455.125</v>
      </c>
      <c r="L14" s="664">
        <v>558447.08749999991</v>
      </c>
      <c r="M14" s="664">
        <v>85683.15</v>
      </c>
      <c r="N14" s="664">
        <v>51242.25</v>
      </c>
      <c r="O14" s="650">
        <v>0</v>
      </c>
    </row>
    <row r="15" spans="1:15">
      <c r="A15" s="492">
        <v>9</v>
      </c>
      <c r="B15" s="500" t="s">
        <v>573</v>
      </c>
      <c r="C15" s="662">
        <v>28803410.736300003</v>
      </c>
      <c r="D15" s="650">
        <v>27003053.887500003</v>
      </c>
      <c r="E15" s="650">
        <v>1760356.8487999998</v>
      </c>
      <c r="F15" s="664">
        <v>0</v>
      </c>
      <c r="G15" s="664">
        <v>0</v>
      </c>
      <c r="H15" s="650">
        <v>40000</v>
      </c>
      <c r="I15" s="650">
        <v>756031.68140000012</v>
      </c>
      <c r="J15" s="664">
        <v>539995.99600000004</v>
      </c>
      <c r="K15" s="664">
        <v>176035.68540000002</v>
      </c>
      <c r="L15" s="664">
        <v>0</v>
      </c>
      <c r="M15" s="664">
        <v>0</v>
      </c>
      <c r="N15" s="664">
        <v>40000</v>
      </c>
      <c r="O15" s="650">
        <v>0</v>
      </c>
    </row>
    <row r="16" spans="1:15">
      <c r="A16" s="492">
        <v>10</v>
      </c>
      <c r="B16" s="500" t="s">
        <v>574</v>
      </c>
      <c r="C16" s="662">
        <v>11115049.013599999</v>
      </c>
      <c r="D16" s="650">
        <v>8925013.9747000001</v>
      </c>
      <c r="E16" s="650">
        <v>2110523.0888999999</v>
      </c>
      <c r="F16" s="664">
        <v>79511.95</v>
      </c>
      <c r="G16" s="664">
        <v>0</v>
      </c>
      <c r="H16" s="650">
        <v>0</v>
      </c>
      <c r="I16" s="650">
        <v>413406.19</v>
      </c>
      <c r="J16" s="664">
        <v>178500.27849999999</v>
      </c>
      <c r="K16" s="664">
        <v>211052.32149999999</v>
      </c>
      <c r="L16" s="664">
        <v>23853.59</v>
      </c>
      <c r="M16" s="664">
        <v>0</v>
      </c>
      <c r="N16" s="664">
        <v>0</v>
      </c>
      <c r="O16" s="650">
        <v>0</v>
      </c>
    </row>
    <row r="17" spans="1:15">
      <c r="A17" s="492">
        <v>11</v>
      </c>
      <c r="B17" s="500" t="s">
        <v>575</v>
      </c>
      <c r="C17" s="662">
        <v>7164139.4174999995</v>
      </c>
      <c r="D17" s="650">
        <v>4836527.4863</v>
      </c>
      <c r="E17" s="650">
        <v>970351.23190000001</v>
      </c>
      <c r="F17" s="664">
        <v>568315.12730000005</v>
      </c>
      <c r="G17" s="664">
        <v>788945.57200000004</v>
      </c>
      <c r="H17" s="650">
        <v>0</v>
      </c>
      <c r="I17" s="650">
        <v>758732.99230000004</v>
      </c>
      <c r="J17" s="664">
        <v>96730.549199999994</v>
      </c>
      <c r="K17" s="664">
        <v>97035.124100000001</v>
      </c>
      <c r="L17" s="664">
        <v>170494.53300000002</v>
      </c>
      <c r="M17" s="664">
        <v>394472.78600000002</v>
      </c>
      <c r="N17" s="664">
        <v>0</v>
      </c>
      <c r="O17" s="650">
        <v>0</v>
      </c>
    </row>
    <row r="18" spans="1:15">
      <c r="A18" s="492">
        <v>12</v>
      </c>
      <c r="B18" s="500" t="s">
        <v>576</v>
      </c>
      <c r="C18" s="662">
        <v>68192845.622799978</v>
      </c>
      <c r="D18" s="650">
        <v>48707028.322799996</v>
      </c>
      <c r="E18" s="650">
        <v>11773524.4013</v>
      </c>
      <c r="F18" s="664">
        <v>4474209.3637999995</v>
      </c>
      <c r="G18" s="664">
        <v>2991000.8388999999</v>
      </c>
      <c r="H18" s="650">
        <v>247082.696</v>
      </c>
      <c r="I18" s="650">
        <v>5236339.2642999999</v>
      </c>
      <c r="J18" s="664">
        <v>974140.44400000013</v>
      </c>
      <c r="K18" s="664">
        <v>1177352.6488999999</v>
      </c>
      <c r="L18" s="664">
        <v>1342262.8913</v>
      </c>
      <c r="M18" s="664">
        <v>1495500.5841000001</v>
      </c>
      <c r="N18" s="664">
        <v>247082.696</v>
      </c>
      <c r="O18" s="650">
        <v>0</v>
      </c>
    </row>
    <row r="19" spans="1:15">
      <c r="A19" s="492">
        <v>13</v>
      </c>
      <c r="B19" s="500" t="s">
        <v>577</v>
      </c>
      <c r="C19" s="662">
        <v>19271746.554000001</v>
      </c>
      <c r="D19" s="650">
        <v>16707074.545</v>
      </c>
      <c r="E19" s="650">
        <v>1745226.0858</v>
      </c>
      <c r="F19" s="664">
        <v>262644.39</v>
      </c>
      <c r="G19" s="664">
        <v>536937.14320000005</v>
      </c>
      <c r="H19" s="650">
        <v>19864.39</v>
      </c>
      <c r="I19" s="650">
        <v>875790.34400000004</v>
      </c>
      <c r="J19" s="664">
        <v>334141.41279999999</v>
      </c>
      <c r="K19" s="664">
        <v>174522.61800000002</v>
      </c>
      <c r="L19" s="664">
        <v>78793.319999999992</v>
      </c>
      <c r="M19" s="664">
        <v>268468.60320000001</v>
      </c>
      <c r="N19" s="664">
        <v>19864.39</v>
      </c>
      <c r="O19" s="650">
        <v>0</v>
      </c>
    </row>
    <row r="20" spans="1:15">
      <c r="A20" s="492">
        <v>14</v>
      </c>
      <c r="B20" s="500" t="s">
        <v>578</v>
      </c>
      <c r="C20" s="662">
        <v>87459167.824700013</v>
      </c>
      <c r="D20" s="650">
        <v>53105966.4067</v>
      </c>
      <c r="E20" s="650">
        <v>27806655.353800002</v>
      </c>
      <c r="F20" s="664">
        <v>5188279.3900999995</v>
      </c>
      <c r="G20" s="664">
        <v>1349127.4941</v>
      </c>
      <c r="H20" s="650">
        <v>9139.18</v>
      </c>
      <c r="I20" s="650">
        <v>6081116.8170999987</v>
      </c>
      <c r="J20" s="664">
        <v>1060264.3444000001</v>
      </c>
      <c r="K20" s="664">
        <v>2780665.5861999998</v>
      </c>
      <c r="L20" s="664">
        <v>1556483.9086000002</v>
      </c>
      <c r="M20" s="664">
        <v>674563.79790000001</v>
      </c>
      <c r="N20" s="664">
        <v>9139.18</v>
      </c>
      <c r="O20" s="650">
        <v>0</v>
      </c>
    </row>
    <row r="21" spans="1:15">
      <c r="A21" s="492">
        <v>15</v>
      </c>
      <c r="B21" s="500" t="s">
        <v>579</v>
      </c>
      <c r="C21" s="662">
        <v>38421583.089100003</v>
      </c>
      <c r="D21" s="650">
        <v>15874771.8002</v>
      </c>
      <c r="E21" s="650">
        <v>18045365.243899997</v>
      </c>
      <c r="F21" s="664">
        <v>4490156.8049999997</v>
      </c>
      <c r="G21" s="664">
        <v>289.24</v>
      </c>
      <c r="H21" s="650">
        <v>11000</v>
      </c>
      <c r="I21" s="650">
        <v>3480223.6721000001</v>
      </c>
      <c r="J21" s="664">
        <v>317495.4903</v>
      </c>
      <c r="K21" s="664">
        <v>1804536.4997000003</v>
      </c>
      <c r="L21" s="664">
        <v>1347047.0621</v>
      </c>
      <c r="M21" s="664">
        <v>144.62</v>
      </c>
      <c r="N21" s="664">
        <v>11000</v>
      </c>
      <c r="O21" s="650">
        <v>0</v>
      </c>
    </row>
    <row r="22" spans="1:15">
      <c r="A22" s="492">
        <v>16</v>
      </c>
      <c r="B22" s="500" t="s">
        <v>580</v>
      </c>
      <c r="C22" s="662">
        <v>1043882.826</v>
      </c>
      <c r="D22" s="650">
        <v>1043882.826</v>
      </c>
      <c r="E22" s="650">
        <v>0</v>
      </c>
      <c r="F22" s="664">
        <v>0</v>
      </c>
      <c r="G22" s="664">
        <v>0</v>
      </c>
      <c r="H22" s="650">
        <v>0</v>
      </c>
      <c r="I22" s="650">
        <v>20877.659800000001</v>
      </c>
      <c r="J22" s="664">
        <v>20877.659800000001</v>
      </c>
      <c r="K22" s="664">
        <v>0</v>
      </c>
      <c r="L22" s="664">
        <v>0</v>
      </c>
      <c r="M22" s="664">
        <v>0</v>
      </c>
      <c r="N22" s="664">
        <v>0</v>
      </c>
      <c r="O22" s="650">
        <v>0</v>
      </c>
    </row>
    <row r="23" spans="1:15">
      <c r="A23" s="492">
        <v>17</v>
      </c>
      <c r="B23" s="500" t="s">
        <v>581</v>
      </c>
      <c r="C23" s="662">
        <v>5234308.1136999996</v>
      </c>
      <c r="D23" s="650">
        <v>1911570.7045</v>
      </c>
      <c r="E23" s="650">
        <v>1374512.0400999999</v>
      </c>
      <c r="F23" s="664">
        <v>1543394.6990999999</v>
      </c>
      <c r="G23" s="664">
        <v>404830.67</v>
      </c>
      <c r="H23" s="650">
        <v>0</v>
      </c>
      <c r="I23" s="650">
        <v>841116.3557999999</v>
      </c>
      <c r="J23" s="664">
        <v>38231.431500000006</v>
      </c>
      <c r="K23" s="664">
        <v>137451.17539999998</v>
      </c>
      <c r="L23" s="664">
        <v>463018.40889999998</v>
      </c>
      <c r="M23" s="664">
        <v>202415.34</v>
      </c>
      <c r="N23" s="664">
        <v>0</v>
      </c>
      <c r="O23" s="650">
        <v>0</v>
      </c>
    </row>
    <row r="24" spans="1:15">
      <c r="A24" s="492">
        <v>18</v>
      </c>
      <c r="B24" s="500" t="s">
        <v>582</v>
      </c>
      <c r="C24" s="662">
        <v>20598855.308400005</v>
      </c>
      <c r="D24" s="650">
        <v>20551507.848400004</v>
      </c>
      <c r="E24" s="650">
        <v>1502.71</v>
      </c>
      <c r="F24" s="664">
        <v>45844.75</v>
      </c>
      <c r="G24" s="664">
        <v>0</v>
      </c>
      <c r="H24" s="650">
        <v>0</v>
      </c>
      <c r="I24" s="650">
        <v>424933.86969999998</v>
      </c>
      <c r="J24" s="664">
        <v>411030.16969999997</v>
      </c>
      <c r="K24" s="664">
        <v>150.27000000000001</v>
      </c>
      <c r="L24" s="664">
        <v>13753.43</v>
      </c>
      <c r="M24" s="664">
        <v>0</v>
      </c>
      <c r="N24" s="664">
        <v>0</v>
      </c>
      <c r="O24" s="650">
        <v>0</v>
      </c>
    </row>
    <row r="25" spans="1:15">
      <c r="A25" s="492">
        <v>19</v>
      </c>
      <c r="B25" s="500" t="s">
        <v>583</v>
      </c>
      <c r="C25" s="662">
        <v>6801744.5782000003</v>
      </c>
      <c r="D25" s="650">
        <v>6765109.9824999999</v>
      </c>
      <c r="E25" s="650">
        <v>0</v>
      </c>
      <c r="F25" s="664">
        <v>7023.28</v>
      </c>
      <c r="G25" s="664">
        <v>29611.315699999999</v>
      </c>
      <c r="H25" s="650">
        <v>0</v>
      </c>
      <c r="I25" s="650">
        <v>152214.8033</v>
      </c>
      <c r="J25" s="664">
        <v>135302.1654</v>
      </c>
      <c r="K25" s="664">
        <v>0</v>
      </c>
      <c r="L25" s="664">
        <v>2106.98</v>
      </c>
      <c r="M25" s="664">
        <v>14805.6579</v>
      </c>
      <c r="N25" s="664">
        <v>0</v>
      </c>
      <c r="O25" s="650">
        <v>0</v>
      </c>
    </row>
    <row r="26" spans="1:15">
      <c r="A26" s="492">
        <v>20</v>
      </c>
      <c r="B26" s="500" t="s">
        <v>584</v>
      </c>
      <c r="C26" s="662">
        <v>26684784.397700004</v>
      </c>
      <c r="D26" s="650">
        <v>23003628.598900001</v>
      </c>
      <c r="E26" s="650">
        <v>2968959.5279000001</v>
      </c>
      <c r="F26" s="664">
        <v>276794.42</v>
      </c>
      <c r="G26" s="664">
        <v>365672.98089999997</v>
      </c>
      <c r="H26" s="650">
        <v>69728.87</v>
      </c>
      <c r="I26" s="650">
        <v>1092572.3130999999</v>
      </c>
      <c r="J26" s="664">
        <v>460072.60109999997</v>
      </c>
      <c r="K26" s="664">
        <v>296895.98569999996</v>
      </c>
      <c r="L26" s="664">
        <v>83038.34</v>
      </c>
      <c r="M26" s="664">
        <v>182836.51630000002</v>
      </c>
      <c r="N26" s="664">
        <v>69728.87</v>
      </c>
      <c r="O26" s="650">
        <v>0</v>
      </c>
    </row>
    <row r="27" spans="1:15">
      <c r="A27" s="492">
        <v>21</v>
      </c>
      <c r="B27" s="500" t="s">
        <v>585</v>
      </c>
      <c r="C27" s="662">
        <v>3194225.2366999998</v>
      </c>
      <c r="D27" s="650">
        <v>3037526.3267000001</v>
      </c>
      <c r="E27" s="650">
        <v>77950.11</v>
      </c>
      <c r="F27" s="664">
        <v>31036.25</v>
      </c>
      <c r="G27" s="664">
        <v>0</v>
      </c>
      <c r="H27" s="650">
        <v>47712.55</v>
      </c>
      <c r="I27" s="650">
        <v>125568.9952</v>
      </c>
      <c r="J27" s="664">
        <v>60750.555200000003</v>
      </c>
      <c r="K27" s="664">
        <v>7795.02</v>
      </c>
      <c r="L27" s="664">
        <v>9310.8700000000008</v>
      </c>
      <c r="M27" s="664">
        <v>0</v>
      </c>
      <c r="N27" s="664">
        <v>47712.55</v>
      </c>
      <c r="O27" s="650">
        <v>0</v>
      </c>
    </row>
    <row r="28" spans="1:15">
      <c r="A28" s="492">
        <v>22</v>
      </c>
      <c r="B28" s="500" t="s">
        <v>586</v>
      </c>
      <c r="C28" s="662">
        <v>1886793.1112999998</v>
      </c>
      <c r="D28" s="650">
        <v>1040219.5003</v>
      </c>
      <c r="E28" s="650">
        <v>796542.41399999999</v>
      </c>
      <c r="F28" s="664">
        <v>13443.537</v>
      </c>
      <c r="G28" s="664">
        <v>0</v>
      </c>
      <c r="H28" s="650">
        <v>36587.660000000003</v>
      </c>
      <c r="I28" s="650">
        <v>141079.32889999999</v>
      </c>
      <c r="J28" s="664">
        <v>20804.381899999997</v>
      </c>
      <c r="K28" s="664">
        <v>79654.238599999997</v>
      </c>
      <c r="L28" s="664">
        <v>4033.0484000000001</v>
      </c>
      <c r="M28" s="664">
        <v>0</v>
      </c>
      <c r="N28" s="664">
        <v>36587.660000000003</v>
      </c>
      <c r="O28" s="650">
        <v>0</v>
      </c>
    </row>
    <row r="29" spans="1:15">
      <c r="A29" s="492">
        <v>23</v>
      </c>
      <c r="B29" s="500" t="s">
        <v>587</v>
      </c>
      <c r="C29" s="662">
        <v>66375216.502400003</v>
      </c>
      <c r="D29" s="650">
        <v>48537861.470799997</v>
      </c>
      <c r="E29" s="650">
        <v>8100456.9425000008</v>
      </c>
      <c r="F29" s="664">
        <v>6684411.0904000001</v>
      </c>
      <c r="G29" s="664">
        <v>2744905.5981000001</v>
      </c>
      <c r="H29" s="650">
        <v>307581.40059999999</v>
      </c>
      <c r="I29" s="650">
        <v>5466160.8033999996</v>
      </c>
      <c r="J29" s="664">
        <v>970757.29689999996</v>
      </c>
      <c r="K29" s="664">
        <v>810045.77859999996</v>
      </c>
      <c r="L29" s="664">
        <v>2005323.4358000001</v>
      </c>
      <c r="M29" s="664">
        <v>1372452.8914999997</v>
      </c>
      <c r="N29" s="664">
        <v>307581.40059999999</v>
      </c>
      <c r="O29" s="650">
        <v>0</v>
      </c>
    </row>
    <row r="30" spans="1:15">
      <c r="A30" s="492">
        <v>24</v>
      </c>
      <c r="B30" s="500" t="s">
        <v>588</v>
      </c>
      <c r="C30" s="662">
        <v>71664968.794300005</v>
      </c>
      <c r="D30" s="650">
        <v>60605701.729000002</v>
      </c>
      <c r="E30" s="650">
        <v>4598392.5733000003</v>
      </c>
      <c r="F30" s="664">
        <v>4600118.570199999</v>
      </c>
      <c r="G30" s="664">
        <v>1830945.0818</v>
      </c>
      <c r="H30" s="650">
        <v>29810.84</v>
      </c>
      <c r="I30" s="650">
        <v>3992684.4750999995</v>
      </c>
      <c r="J30" s="664">
        <v>1207526.1642</v>
      </c>
      <c r="K30" s="664">
        <v>459839.32419999992</v>
      </c>
      <c r="L30" s="664">
        <v>1380035.5758</v>
      </c>
      <c r="M30" s="664">
        <v>915472.57089999993</v>
      </c>
      <c r="N30" s="664">
        <v>29810.84</v>
      </c>
      <c r="O30" s="650">
        <v>0</v>
      </c>
    </row>
    <row r="31" spans="1:15">
      <c r="A31" s="492">
        <v>25</v>
      </c>
      <c r="B31" s="500" t="s">
        <v>589</v>
      </c>
      <c r="C31" s="662">
        <v>52918006.853300013</v>
      </c>
      <c r="D31" s="650">
        <v>47071125.277600005</v>
      </c>
      <c r="E31" s="650">
        <v>930643.74179999996</v>
      </c>
      <c r="F31" s="664">
        <v>4068548.1427000007</v>
      </c>
      <c r="G31" s="664">
        <v>658180.77340000006</v>
      </c>
      <c r="H31" s="650">
        <v>189508.9178</v>
      </c>
      <c r="I31" s="650">
        <v>2509897.4214999997</v>
      </c>
      <c r="J31" s="664">
        <v>677669.13769999985</v>
      </c>
      <c r="K31" s="664">
        <v>93064.414799999999</v>
      </c>
      <c r="L31" s="664">
        <v>1220564.4937</v>
      </c>
      <c r="M31" s="664">
        <v>329090.45750000002</v>
      </c>
      <c r="N31" s="664">
        <v>189508.9178</v>
      </c>
      <c r="O31" s="650">
        <v>0</v>
      </c>
    </row>
    <row r="32" spans="1:15">
      <c r="A32" s="492">
        <v>26</v>
      </c>
      <c r="B32" s="500" t="s">
        <v>691</v>
      </c>
      <c r="C32" s="662">
        <v>17386816.238600031</v>
      </c>
      <c r="D32" s="650">
        <v>12028660.079400033</v>
      </c>
      <c r="E32" s="650">
        <v>2222997.9862000011</v>
      </c>
      <c r="F32" s="664">
        <v>1809923.3228999991</v>
      </c>
      <c r="G32" s="664">
        <v>1176917.1550000003</v>
      </c>
      <c r="H32" s="650">
        <v>148317.69510000013</v>
      </c>
      <c r="I32" s="650">
        <v>1742711.1649000004</v>
      </c>
      <c r="J32" s="664">
        <v>240498.82160000084</v>
      </c>
      <c r="K32" s="664">
        <v>222299.91509999998</v>
      </c>
      <c r="L32" s="664">
        <v>542977.04559999937</v>
      </c>
      <c r="M32" s="664">
        <v>588458.68750000012</v>
      </c>
      <c r="N32" s="664">
        <v>148476.69510000013</v>
      </c>
      <c r="O32" s="650">
        <v>0</v>
      </c>
    </row>
    <row r="33" spans="1:15">
      <c r="A33" s="492">
        <v>27</v>
      </c>
      <c r="B33" s="543" t="s">
        <v>68</v>
      </c>
      <c r="C33" s="665">
        <v>949967385.80580008</v>
      </c>
      <c r="D33" s="649">
        <v>754097716.20090008</v>
      </c>
      <c r="E33" s="649">
        <v>131138792.01739998</v>
      </c>
      <c r="F33" s="669">
        <v>46929468.988399997</v>
      </c>
      <c r="G33" s="669">
        <v>16178179.070800003</v>
      </c>
      <c r="H33" s="649">
        <v>1623229.5283000004</v>
      </c>
      <c r="I33" s="670">
        <v>51716753.250800006</v>
      </c>
      <c r="J33" s="669">
        <v>14811553.203500003</v>
      </c>
      <c r="K33" s="669">
        <v>13113879.9893</v>
      </c>
      <c r="L33" s="669">
        <v>14078841.254799997</v>
      </c>
      <c r="M33" s="669">
        <v>8089090.2748999987</v>
      </c>
      <c r="N33" s="669">
        <v>1623388.5283000004</v>
      </c>
      <c r="O33" s="649">
        <v>1621297.71</v>
      </c>
    </row>
    <row r="34" spans="1:15">
      <c r="A34" s="501"/>
      <c r="B34" s="501"/>
      <c r="C34" s="501"/>
      <c r="D34" s="501"/>
      <c r="E34" s="501"/>
      <c r="H34" s="501"/>
      <c r="I34" s="501"/>
      <c r="O34" s="501"/>
    </row>
    <row r="35" spans="1:15">
      <c r="A35" s="501"/>
      <c r="B35" s="503"/>
      <c r="C35" s="503"/>
      <c r="D35" s="501"/>
      <c r="E35" s="501"/>
      <c r="H35" s="501"/>
      <c r="I35" s="501"/>
      <c r="O35" s="501"/>
    </row>
    <row r="36" spans="1:15">
      <c r="A36" s="501"/>
      <c r="B36" s="501"/>
      <c r="C36" s="501"/>
      <c r="D36" s="501"/>
      <c r="E36" s="501"/>
      <c r="H36" s="501"/>
      <c r="I36" s="501"/>
      <c r="O36" s="501"/>
    </row>
    <row r="37" spans="1:15">
      <c r="A37" s="501"/>
      <c r="B37" s="501"/>
      <c r="C37" s="501"/>
      <c r="D37" s="501"/>
      <c r="E37" s="501"/>
      <c r="H37" s="501"/>
      <c r="I37" s="501"/>
      <c r="O37" s="501"/>
    </row>
    <row r="38" spans="1:15">
      <c r="A38" s="501"/>
      <c r="B38" s="501"/>
      <c r="C38" s="501"/>
      <c r="D38" s="501"/>
      <c r="E38" s="501"/>
      <c r="H38" s="501"/>
      <c r="I38" s="501"/>
      <c r="O38" s="501"/>
    </row>
    <row r="39" spans="1:15">
      <c r="A39" s="501"/>
      <c r="B39" s="501"/>
      <c r="C39" s="501"/>
      <c r="D39" s="501"/>
      <c r="E39" s="501"/>
      <c r="H39" s="501"/>
      <c r="I39" s="501"/>
      <c r="O39" s="501"/>
    </row>
    <row r="40" spans="1:15">
      <c r="A40" s="501"/>
      <c r="B40" s="501"/>
      <c r="C40" s="501"/>
      <c r="D40" s="501"/>
      <c r="E40" s="501"/>
      <c r="H40" s="501"/>
      <c r="I40" s="501"/>
      <c r="O40" s="501"/>
    </row>
    <row r="41" spans="1:15">
      <c r="A41" s="504"/>
      <c r="B41" s="504"/>
      <c r="C41" s="504"/>
      <c r="D41" s="501"/>
      <c r="E41" s="501"/>
      <c r="H41" s="501"/>
      <c r="I41" s="501"/>
      <c r="O41" s="501"/>
    </row>
    <row r="42" spans="1:15">
      <c r="A42" s="504"/>
      <c r="B42" s="504"/>
      <c r="C42" s="504"/>
      <c r="D42" s="501"/>
      <c r="E42" s="501"/>
      <c r="H42" s="501"/>
      <c r="I42" s="501"/>
      <c r="O42" s="501"/>
    </row>
    <row r="43" spans="1:15">
      <c r="A43" s="501"/>
      <c r="B43" s="505"/>
      <c r="C43" s="505"/>
      <c r="D43" s="501"/>
      <c r="E43" s="501"/>
      <c r="H43" s="501"/>
      <c r="I43" s="501"/>
      <c r="O43" s="501"/>
    </row>
    <row r="44" spans="1:15">
      <c r="A44" s="501"/>
      <c r="B44" s="505"/>
      <c r="C44" s="505"/>
      <c r="D44" s="501"/>
      <c r="E44" s="501"/>
      <c r="H44" s="501"/>
      <c r="I44" s="501"/>
      <c r="O44" s="501"/>
    </row>
    <row r="45" spans="1:15">
      <c r="A45" s="501"/>
      <c r="B45" s="505"/>
      <c r="C45" s="505"/>
      <c r="D45" s="501"/>
      <c r="E45" s="501"/>
      <c r="H45" s="501"/>
      <c r="I45" s="501"/>
      <c r="O45" s="501"/>
    </row>
    <row r="46" spans="1:15">
      <c r="A46" s="501"/>
      <c r="B46" s="501"/>
      <c r="C46" s="501"/>
      <c r="D46" s="501"/>
      <c r="E46" s="501"/>
      <c r="H46" s="501"/>
      <c r="I46" s="501"/>
      <c r="O46" s="50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90" zoomScaleNormal="90" workbookViewId="0">
      <selection activeCell="A5" sqref="A5:B5"/>
    </sheetView>
  </sheetViews>
  <sheetFormatPr defaultColWidth="8.7109375" defaultRowHeight="12"/>
  <cols>
    <col min="1" max="1" width="11.85546875" style="545" bestFit="1" customWidth="1"/>
    <col min="2" max="2" width="80.140625" style="545" customWidth="1"/>
    <col min="3" max="11" width="28.28515625" style="545" customWidth="1"/>
    <col min="12" max="16384" width="8.7109375" style="545"/>
  </cols>
  <sheetData>
    <row r="1" spans="1:11" s="477" customFormat="1" ht="12.75">
      <c r="A1" s="476" t="s">
        <v>188</v>
      </c>
    </row>
    <row r="2" spans="1:11" s="477" customFormat="1" ht="12.75">
      <c r="A2" s="478" t="s">
        <v>189</v>
      </c>
    </row>
    <row r="3" spans="1:11" s="477" customFormat="1" ht="12.75">
      <c r="A3" s="479" t="s">
        <v>692</v>
      </c>
      <c r="B3" s="480">
        <f>'1. key ratios'!B2</f>
        <v>44377</v>
      </c>
    </row>
    <row r="4" spans="1:11">
      <c r="C4" s="546" t="s">
        <v>542</v>
      </c>
      <c r="D4" s="546" t="s">
        <v>543</v>
      </c>
      <c r="E4" s="546" t="s">
        <v>544</v>
      </c>
      <c r="F4" s="546" t="s">
        <v>545</v>
      </c>
      <c r="G4" s="546" t="s">
        <v>546</v>
      </c>
      <c r="H4" s="546" t="s">
        <v>547</v>
      </c>
      <c r="I4" s="546" t="s">
        <v>548</v>
      </c>
      <c r="J4" s="546" t="s">
        <v>549</v>
      </c>
      <c r="K4" s="546" t="s">
        <v>550</v>
      </c>
    </row>
    <row r="5" spans="1:11" ht="104.1" customHeight="1">
      <c r="A5" s="775" t="s">
        <v>693</v>
      </c>
      <c r="B5" s="776"/>
      <c r="C5" s="481" t="s">
        <v>694</v>
      </c>
      <c r="D5" s="481" t="s">
        <v>680</v>
      </c>
      <c r="E5" s="481" t="s">
        <v>681</v>
      </c>
      <c r="F5" s="481" t="s">
        <v>695</v>
      </c>
      <c r="G5" s="481" t="s">
        <v>696</v>
      </c>
      <c r="H5" s="481" t="s">
        <v>697</v>
      </c>
      <c r="I5" s="481" t="s">
        <v>698</v>
      </c>
      <c r="J5" s="481" t="s">
        <v>699</v>
      </c>
      <c r="K5" s="481" t="s">
        <v>700</v>
      </c>
    </row>
    <row r="6" spans="1:11" ht="12.75">
      <c r="A6" s="492">
        <v>1</v>
      </c>
      <c r="B6" s="492" t="s">
        <v>701</v>
      </c>
      <c r="C6" s="650">
        <v>28657642.410000004</v>
      </c>
      <c r="D6" s="650">
        <v>4637315.6680000005</v>
      </c>
      <c r="E6" s="650">
        <v>0</v>
      </c>
      <c r="F6" s="650">
        <v>6657591.7800000003</v>
      </c>
      <c r="G6" s="650">
        <v>811236792.91000044</v>
      </c>
      <c r="H6" s="650">
        <v>0</v>
      </c>
      <c r="I6" s="650">
        <v>46899576.99000001</v>
      </c>
      <c r="J6" s="650">
        <v>13865489.529999999</v>
      </c>
      <c r="K6" s="650">
        <v>38012976.831998348</v>
      </c>
    </row>
    <row r="7" spans="1:11" ht="12.75">
      <c r="A7" s="492">
        <v>2</v>
      </c>
      <c r="B7" s="493" t="s">
        <v>702</v>
      </c>
      <c r="C7" s="650">
        <v>0</v>
      </c>
      <c r="D7" s="650">
        <v>0</v>
      </c>
      <c r="E7" s="650">
        <v>0</v>
      </c>
      <c r="F7" s="650">
        <v>0</v>
      </c>
      <c r="G7" s="650">
        <v>0</v>
      </c>
      <c r="H7" s="650">
        <v>0</v>
      </c>
      <c r="I7" s="650">
        <v>0</v>
      </c>
      <c r="J7" s="650">
        <v>0</v>
      </c>
      <c r="K7" s="650">
        <v>5000000</v>
      </c>
    </row>
    <row r="8" spans="1:11" ht="12.75">
      <c r="A8" s="492">
        <v>3</v>
      </c>
      <c r="B8" s="493" t="s">
        <v>652</v>
      </c>
      <c r="C8" s="650">
        <v>21000085.02</v>
      </c>
      <c r="D8" s="650">
        <v>0</v>
      </c>
      <c r="E8" s="650">
        <v>0</v>
      </c>
      <c r="F8" s="650">
        <v>0</v>
      </c>
      <c r="G8" s="650">
        <v>13448238.379999999</v>
      </c>
      <c r="H8" s="650">
        <v>0</v>
      </c>
      <c r="I8" s="650">
        <v>2349053.63</v>
      </c>
      <c r="J8" s="650">
        <v>15333384.069999998</v>
      </c>
      <c r="K8" s="650">
        <v>22372366.230199955</v>
      </c>
    </row>
    <row r="9" spans="1:11" ht="12.75">
      <c r="A9" s="492">
        <v>4</v>
      </c>
      <c r="B9" s="525" t="s">
        <v>703</v>
      </c>
      <c r="C9" s="650">
        <v>263272.51</v>
      </c>
      <c r="D9" s="650">
        <v>0</v>
      </c>
      <c r="E9" s="650">
        <v>0</v>
      </c>
      <c r="F9" s="650">
        <v>0</v>
      </c>
      <c r="G9" s="650">
        <v>60056901.009999953</v>
      </c>
      <c r="H9" s="650">
        <v>0</v>
      </c>
      <c r="I9" s="650">
        <v>1397694.33</v>
      </c>
      <c r="J9" s="650">
        <v>779933.27000000014</v>
      </c>
      <c r="K9" s="650">
        <v>2233076.7699979842</v>
      </c>
    </row>
    <row r="10" spans="1:11" ht="12.75">
      <c r="A10" s="492">
        <v>5</v>
      </c>
      <c r="B10" s="547" t="s">
        <v>704</v>
      </c>
      <c r="C10" s="650">
        <v>0</v>
      </c>
      <c r="D10" s="650">
        <v>0</v>
      </c>
      <c r="E10" s="650">
        <v>0</v>
      </c>
      <c r="F10" s="650">
        <v>0</v>
      </c>
      <c r="G10" s="650">
        <v>0</v>
      </c>
      <c r="H10" s="650">
        <v>0</v>
      </c>
      <c r="I10" s="650">
        <v>0</v>
      </c>
      <c r="J10" s="650">
        <v>0</v>
      </c>
      <c r="K10" s="650">
        <v>0</v>
      </c>
    </row>
    <row r="11" spans="1:11" ht="12.75">
      <c r="A11" s="492">
        <v>6</v>
      </c>
      <c r="B11" s="547" t="s">
        <v>705</v>
      </c>
      <c r="C11" s="650">
        <v>7500</v>
      </c>
      <c r="D11" s="650">
        <v>0</v>
      </c>
      <c r="E11" s="650">
        <v>0</v>
      </c>
      <c r="F11" s="650">
        <v>0</v>
      </c>
      <c r="G11" s="650">
        <v>38000</v>
      </c>
      <c r="H11" s="650">
        <v>0</v>
      </c>
      <c r="I11" s="650">
        <v>0</v>
      </c>
      <c r="J11" s="650">
        <v>0</v>
      </c>
      <c r="K11" s="650">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5" activePane="bottomRight" state="frozen"/>
      <selection activeCell="C50" sqref="C50"/>
      <selection pane="topRight" activeCell="C50" sqref="C50"/>
      <selection pane="bottomLeft" activeCell="C50" sqref="C50"/>
      <selection pane="bottomRight" activeCell="C50" sqref="C50"/>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188</v>
      </c>
      <c r="B1" s="307" t="str">
        <f>Info!C2</f>
        <v>ს.ს. "ტერაბანკი"</v>
      </c>
    </row>
    <row r="2" spans="1:8" ht="15.75">
      <c r="A2" s="18" t="s">
        <v>189</v>
      </c>
      <c r="B2" s="435">
        <f>'1. key ratios'!B2</f>
        <v>44377</v>
      </c>
    </row>
    <row r="3" spans="1:8" ht="15.75">
      <c r="A3" s="18"/>
    </row>
    <row r="4" spans="1:8" ht="16.5" thickBot="1">
      <c r="A4" s="32" t="s">
        <v>329</v>
      </c>
      <c r="B4" s="72" t="s">
        <v>244</v>
      </c>
      <c r="C4" s="32"/>
      <c r="D4" s="33"/>
      <c r="E4" s="33"/>
      <c r="F4" s="34"/>
      <c r="G4" s="34"/>
      <c r="H4" s="35" t="s">
        <v>93</v>
      </c>
    </row>
    <row r="5" spans="1:8" ht="15.75">
      <c r="A5" s="36"/>
      <c r="B5" s="37"/>
      <c r="C5" s="673" t="s">
        <v>194</v>
      </c>
      <c r="D5" s="674"/>
      <c r="E5" s="675"/>
      <c r="F5" s="673" t="s">
        <v>195</v>
      </c>
      <c r="G5" s="674"/>
      <c r="H5" s="676"/>
    </row>
    <row r="6" spans="1:8" ht="15.75">
      <c r="A6" s="38" t="s">
        <v>26</v>
      </c>
      <c r="B6" s="39" t="s">
        <v>153</v>
      </c>
      <c r="C6" s="40" t="s">
        <v>27</v>
      </c>
      <c r="D6" s="40" t="s">
        <v>94</v>
      </c>
      <c r="E6" s="40" t="s">
        <v>68</v>
      </c>
      <c r="F6" s="40" t="s">
        <v>27</v>
      </c>
      <c r="G6" s="40" t="s">
        <v>94</v>
      </c>
      <c r="H6" s="41" t="s">
        <v>68</v>
      </c>
    </row>
    <row r="7" spans="1:8" ht="15.75">
      <c r="A7" s="38">
        <v>1</v>
      </c>
      <c r="B7" s="42" t="s">
        <v>154</v>
      </c>
      <c r="C7" s="231">
        <v>14721331.999999998</v>
      </c>
      <c r="D7" s="231">
        <v>28645640.600000016</v>
      </c>
      <c r="E7" s="232">
        <f>C7+D7</f>
        <v>43366972.600000016</v>
      </c>
      <c r="F7" s="231">
        <v>15585826.769999998</v>
      </c>
      <c r="G7" s="231">
        <v>18397466.18</v>
      </c>
      <c r="H7" s="234">
        <f>F7+G7</f>
        <v>33983292.949999996</v>
      </c>
    </row>
    <row r="8" spans="1:8" ht="15.75">
      <c r="A8" s="38">
        <v>2</v>
      </c>
      <c r="B8" s="42" t="s">
        <v>155</v>
      </c>
      <c r="C8" s="231">
        <v>20637660.879999999</v>
      </c>
      <c r="D8" s="231">
        <v>152072001.21000001</v>
      </c>
      <c r="E8" s="232">
        <f t="shared" ref="E8:E20" si="0">C8+D8</f>
        <v>172709662.09</v>
      </c>
      <c r="F8" s="231">
        <v>8376061.2599999998</v>
      </c>
      <c r="G8" s="231">
        <v>117018790.76000001</v>
      </c>
      <c r="H8" s="234">
        <f t="shared" ref="H8:H40" si="1">F8+G8</f>
        <v>125394852.02000001</v>
      </c>
    </row>
    <row r="9" spans="1:8" ht="15.75">
      <c r="A9" s="38">
        <v>3</v>
      </c>
      <c r="B9" s="42" t="s">
        <v>156</v>
      </c>
      <c r="C9" s="231">
        <v>307370.71999999997</v>
      </c>
      <c r="D9" s="231">
        <v>22876898.920000002</v>
      </c>
      <c r="E9" s="232">
        <f t="shared" si="0"/>
        <v>23184269.640000001</v>
      </c>
      <c r="F9" s="231">
        <v>152396.12</v>
      </c>
      <c r="G9" s="231">
        <v>29328889.02</v>
      </c>
      <c r="H9" s="234">
        <f t="shared" si="1"/>
        <v>29481285.140000001</v>
      </c>
    </row>
    <row r="10" spans="1:8" ht="15.75">
      <c r="A10" s="38">
        <v>4</v>
      </c>
      <c r="B10" s="42" t="s">
        <v>185</v>
      </c>
      <c r="C10" s="231">
        <v>0</v>
      </c>
      <c r="D10" s="231">
        <v>0</v>
      </c>
      <c r="E10" s="231">
        <v>0</v>
      </c>
      <c r="F10" s="231">
        <v>0</v>
      </c>
      <c r="G10" s="231">
        <v>0</v>
      </c>
      <c r="H10" s="234">
        <f t="shared" si="1"/>
        <v>0</v>
      </c>
    </row>
    <row r="11" spans="1:8" ht="15.75">
      <c r="A11" s="38">
        <v>5</v>
      </c>
      <c r="B11" s="42" t="s">
        <v>157</v>
      </c>
      <c r="C11" s="231">
        <v>122129070.13</v>
      </c>
      <c r="D11" s="231">
        <v>0</v>
      </c>
      <c r="E11" s="232">
        <f t="shared" si="0"/>
        <v>122129070.13</v>
      </c>
      <c r="F11" s="231">
        <v>81275060.280000001</v>
      </c>
      <c r="G11" s="231">
        <v>0</v>
      </c>
      <c r="H11" s="234">
        <f t="shared" si="1"/>
        <v>81275060.280000001</v>
      </c>
    </row>
    <row r="12" spans="1:8" ht="15.75">
      <c r="A12" s="38">
        <v>6.1</v>
      </c>
      <c r="B12" s="43" t="s">
        <v>158</v>
      </c>
      <c r="C12" s="231">
        <v>384554294.04999816</v>
      </c>
      <c r="D12" s="231">
        <v>565413092.07000065</v>
      </c>
      <c r="E12" s="232">
        <f t="shared" si="0"/>
        <v>949967386.11999881</v>
      </c>
      <c r="F12" s="231">
        <v>307900128.88999701</v>
      </c>
      <c r="G12" s="231">
        <v>511831670.41000038</v>
      </c>
      <c r="H12" s="234">
        <f t="shared" si="1"/>
        <v>819731799.29999733</v>
      </c>
    </row>
    <row r="13" spans="1:8" ht="15.75">
      <c r="A13" s="38">
        <v>6.2</v>
      </c>
      <c r="B13" s="43" t="s">
        <v>159</v>
      </c>
      <c r="C13" s="231">
        <v>18099421.3800001</v>
      </c>
      <c r="D13" s="231">
        <v>35238630.490000002</v>
      </c>
      <c r="E13" s="232">
        <f t="shared" si="0"/>
        <v>53338051.870000102</v>
      </c>
      <c r="F13" s="231">
        <v>35783908.42000033</v>
      </c>
      <c r="G13" s="231">
        <v>32082226.730000004</v>
      </c>
      <c r="H13" s="234">
        <f t="shared" si="1"/>
        <v>67866135.150000334</v>
      </c>
    </row>
    <row r="14" spans="1:8" ht="15.75">
      <c r="A14" s="38">
        <v>6</v>
      </c>
      <c r="B14" s="42" t="s">
        <v>160</v>
      </c>
      <c r="C14" s="232">
        <f>C12-C13</f>
        <v>366454872.66999805</v>
      </c>
      <c r="D14" s="232">
        <f>D12-D13</f>
        <v>530174461.58000064</v>
      </c>
      <c r="E14" s="232">
        <f t="shared" si="0"/>
        <v>896629334.24999869</v>
      </c>
      <c r="F14" s="232">
        <f>F12-F13</f>
        <v>272116220.46999669</v>
      </c>
      <c r="G14" s="232">
        <f>G12-G13</f>
        <v>479749443.68000036</v>
      </c>
      <c r="H14" s="234">
        <f t="shared" si="1"/>
        <v>751865664.149997</v>
      </c>
    </row>
    <row r="15" spans="1:8" ht="15.75">
      <c r="A15" s="38">
        <v>7</v>
      </c>
      <c r="B15" s="42" t="s">
        <v>161</v>
      </c>
      <c r="C15" s="231">
        <v>6679958.8899999661</v>
      </c>
      <c r="D15" s="231">
        <v>7017122.7099999925</v>
      </c>
      <c r="E15" s="232">
        <f t="shared" si="0"/>
        <v>13697081.599999959</v>
      </c>
      <c r="F15" s="231">
        <v>8026304.5099999867</v>
      </c>
      <c r="G15" s="231">
        <v>7461795.9300000081</v>
      </c>
      <c r="H15" s="234">
        <f t="shared" si="1"/>
        <v>15488100.439999994</v>
      </c>
    </row>
    <row r="16" spans="1:8" ht="15.75">
      <c r="A16" s="38">
        <v>8</v>
      </c>
      <c r="B16" s="42" t="s">
        <v>162</v>
      </c>
      <c r="C16" s="231">
        <v>3070297.77000002</v>
      </c>
      <c r="D16" s="231">
        <v>0</v>
      </c>
      <c r="E16" s="232">
        <f t="shared" si="0"/>
        <v>3070297.77000002</v>
      </c>
      <c r="F16" s="231">
        <v>2067124.8100000024</v>
      </c>
      <c r="G16" s="231">
        <v>0</v>
      </c>
      <c r="H16" s="234">
        <f t="shared" si="1"/>
        <v>2067124.8100000024</v>
      </c>
    </row>
    <row r="17" spans="1:8" ht="15.75">
      <c r="A17" s="38">
        <v>9</v>
      </c>
      <c r="B17" s="42" t="s">
        <v>163</v>
      </c>
      <c r="C17" s="231">
        <v>0</v>
      </c>
      <c r="D17" s="231">
        <v>0</v>
      </c>
      <c r="E17" s="232">
        <f t="shared" si="0"/>
        <v>0</v>
      </c>
      <c r="F17" s="231">
        <v>0</v>
      </c>
      <c r="G17" s="231">
        <v>0</v>
      </c>
      <c r="H17" s="234">
        <f t="shared" si="1"/>
        <v>0</v>
      </c>
    </row>
    <row r="18" spans="1:8" ht="15.75">
      <c r="A18" s="38">
        <v>10</v>
      </c>
      <c r="B18" s="42" t="s">
        <v>164</v>
      </c>
      <c r="C18" s="231">
        <v>46329030.339999989</v>
      </c>
      <c r="D18" s="231">
        <v>0</v>
      </c>
      <c r="E18" s="232">
        <f t="shared" si="0"/>
        <v>46329030.339999989</v>
      </c>
      <c r="F18" s="231">
        <v>48255000.220000029</v>
      </c>
      <c r="G18" s="231">
        <v>0</v>
      </c>
      <c r="H18" s="234">
        <f t="shared" si="1"/>
        <v>48255000.220000029</v>
      </c>
    </row>
    <row r="19" spans="1:8" ht="15.75">
      <c r="A19" s="38">
        <v>11</v>
      </c>
      <c r="B19" s="42" t="s">
        <v>165</v>
      </c>
      <c r="C19" s="231">
        <v>12223844.362999998</v>
      </c>
      <c r="D19" s="231">
        <v>750224.07000000007</v>
      </c>
      <c r="E19" s="232">
        <f t="shared" si="0"/>
        <v>12974068.432999998</v>
      </c>
      <c r="F19" s="231">
        <v>6380828.8910000008</v>
      </c>
      <c r="G19" s="231">
        <v>707136.83000000007</v>
      </c>
      <c r="H19" s="234">
        <f t="shared" si="1"/>
        <v>7087965.7210000008</v>
      </c>
    </row>
    <row r="20" spans="1:8" ht="15.75">
      <c r="A20" s="38">
        <v>12</v>
      </c>
      <c r="B20" s="44" t="s">
        <v>166</v>
      </c>
      <c r="C20" s="232">
        <f>SUM(C7:C11)+SUM(C14:C19)</f>
        <v>592553437.76299798</v>
      </c>
      <c r="D20" s="232">
        <f>SUM(D7:D11)+SUM(D14:D19)</f>
        <v>741536349.09000075</v>
      </c>
      <c r="E20" s="232">
        <f t="shared" si="0"/>
        <v>1334089786.8529987</v>
      </c>
      <c r="F20" s="232">
        <f>SUM(F7:F11)+SUM(F14:F19)</f>
        <v>442234823.33099669</v>
      </c>
      <c r="G20" s="232">
        <f>SUM(G7:G11)+SUM(G14:G19)</f>
        <v>652663522.40000033</v>
      </c>
      <c r="H20" s="234">
        <f t="shared" si="1"/>
        <v>1094898345.7309971</v>
      </c>
    </row>
    <row r="21" spans="1:8" ht="15.75">
      <c r="A21" s="38"/>
      <c r="B21" s="39" t="s">
        <v>183</v>
      </c>
      <c r="C21" s="231"/>
      <c r="D21" s="231"/>
      <c r="E21" s="235"/>
      <c r="F21" s="231"/>
      <c r="G21" s="231"/>
      <c r="H21" s="236"/>
    </row>
    <row r="22" spans="1:8" ht="15.75">
      <c r="A22" s="38">
        <v>13</v>
      </c>
      <c r="B22" s="42" t="s">
        <v>167</v>
      </c>
      <c r="C22" s="231">
        <v>2539.06</v>
      </c>
      <c r="D22" s="231">
        <v>61533.01</v>
      </c>
      <c r="E22" s="232">
        <f>C22+D22</f>
        <v>64072.07</v>
      </c>
      <c r="F22" s="231">
        <v>1238.82</v>
      </c>
      <c r="G22" s="231">
        <v>5917923.6000000006</v>
      </c>
      <c r="H22" s="234">
        <f t="shared" si="1"/>
        <v>5919162.4200000009</v>
      </c>
    </row>
    <row r="23" spans="1:8" ht="15.75">
      <c r="A23" s="38">
        <v>14</v>
      </c>
      <c r="B23" s="42" t="s">
        <v>168</v>
      </c>
      <c r="C23" s="231">
        <v>77528698.840000123</v>
      </c>
      <c r="D23" s="231">
        <v>153043270.86011034</v>
      </c>
      <c r="E23" s="232">
        <f t="shared" ref="E23:E40" si="2">C23+D23</f>
        <v>230571969.70011047</v>
      </c>
      <c r="F23" s="231">
        <v>56144357.500000551</v>
      </c>
      <c r="G23" s="231">
        <v>133193632.23999104</v>
      </c>
      <c r="H23" s="234">
        <f t="shared" si="1"/>
        <v>189337989.73999161</v>
      </c>
    </row>
    <row r="24" spans="1:8" ht="15.75">
      <c r="A24" s="38">
        <v>15</v>
      </c>
      <c r="B24" s="42" t="s">
        <v>169</v>
      </c>
      <c r="C24" s="231">
        <v>74387570.36999996</v>
      </c>
      <c r="D24" s="231">
        <v>174621233.82999974</v>
      </c>
      <c r="E24" s="232">
        <f t="shared" si="2"/>
        <v>249008804.19999969</v>
      </c>
      <c r="F24" s="231">
        <v>43927307.899999991</v>
      </c>
      <c r="G24" s="231">
        <v>124795244.65000007</v>
      </c>
      <c r="H24" s="234">
        <f t="shared" si="1"/>
        <v>168722552.55000007</v>
      </c>
    </row>
    <row r="25" spans="1:8" ht="15.75">
      <c r="A25" s="38">
        <v>16</v>
      </c>
      <c r="B25" s="42" t="s">
        <v>170</v>
      </c>
      <c r="C25" s="231">
        <v>127603100.84</v>
      </c>
      <c r="D25" s="231">
        <v>257161792.57000035</v>
      </c>
      <c r="E25" s="232">
        <f t="shared" si="2"/>
        <v>384764893.41000032</v>
      </c>
      <c r="F25" s="231">
        <v>117866854.80000001</v>
      </c>
      <c r="G25" s="231">
        <v>235055336.56999993</v>
      </c>
      <c r="H25" s="234">
        <f t="shared" si="1"/>
        <v>352922191.36999995</v>
      </c>
    </row>
    <row r="26" spans="1:8" ht="15.75">
      <c r="A26" s="38">
        <v>17</v>
      </c>
      <c r="B26" s="42" t="s">
        <v>171</v>
      </c>
      <c r="C26" s="231">
        <v>0</v>
      </c>
      <c r="D26" s="231">
        <v>0</v>
      </c>
      <c r="E26" s="232">
        <f t="shared" si="2"/>
        <v>0</v>
      </c>
      <c r="F26" s="231">
        <v>0</v>
      </c>
      <c r="G26" s="231">
        <v>0</v>
      </c>
      <c r="H26" s="234">
        <f t="shared" si="1"/>
        <v>0</v>
      </c>
    </row>
    <row r="27" spans="1:8" ht="15.75">
      <c r="A27" s="38">
        <v>18</v>
      </c>
      <c r="B27" s="42" t="s">
        <v>172</v>
      </c>
      <c r="C27" s="231">
        <v>170027500</v>
      </c>
      <c r="D27" s="231">
        <v>64470108</v>
      </c>
      <c r="E27" s="232">
        <f t="shared" si="2"/>
        <v>234497608</v>
      </c>
      <c r="F27" s="231">
        <v>104343500</v>
      </c>
      <c r="G27" s="231">
        <v>70480804</v>
      </c>
      <c r="H27" s="234">
        <f t="shared" si="1"/>
        <v>174824304</v>
      </c>
    </row>
    <row r="28" spans="1:8" ht="15.75">
      <c r="A28" s="38">
        <v>19</v>
      </c>
      <c r="B28" s="42" t="s">
        <v>173</v>
      </c>
      <c r="C28" s="231">
        <v>3101288.4700000007</v>
      </c>
      <c r="D28" s="231">
        <v>2968842.7500000014</v>
      </c>
      <c r="E28" s="232">
        <f t="shared" si="2"/>
        <v>6070131.2200000025</v>
      </c>
      <c r="F28" s="231">
        <v>2255217.6799999992</v>
      </c>
      <c r="G28" s="231">
        <v>2954145.5299999965</v>
      </c>
      <c r="H28" s="234">
        <f t="shared" si="1"/>
        <v>5209363.2099999953</v>
      </c>
    </row>
    <row r="29" spans="1:8" ht="15.75">
      <c r="A29" s="38">
        <v>20</v>
      </c>
      <c r="B29" s="42" t="s">
        <v>95</v>
      </c>
      <c r="C29" s="231">
        <v>9716991.6599999927</v>
      </c>
      <c r="D29" s="231">
        <v>17635740.27</v>
      </c>
      <c r="E29" s="232">
        <f t="shared" si="2"/>
        <v>27352731.929999992</v>
      </c>
      <c r="F29" s="231">
        <v>8650363.3400000017</v>
      </c>
      <c r="G29" s="231">
        <v>11980823.009999998</v>
      </c>
      <c r="H29" s="234">
        <f t="shared" si="1"/>
        <v>20631186.350000001</v>
      </c>
    </row>
    <row r="30" spans="1:8" ht="15.75">
      <c r="A30" s="38">
        <v>21</v>
      </c>
      <c r="B30" s="42" t="s">
        <v>174</v>
      </c>
      <c r="C30" s="231">
        <v>0</v>
      </c>
      <c r="D30" s="231">
        <v>61232587.399999999</v>
      </c>
      <c r="E30" s="232">
        <f t="shared" si="2"/>
        <v>61232587.399999999</v>
      </c>
      <c r="F30" s="231">
        <v>0</v>
      </c>
      <c r="G30" s="231">
        <v>57556912.420000002</v>
      </c>
      <c r="H30" s="234">
        <f t="shared" si="1"/>
        <v>57556912.420000002</v>
      </c>
    </row>
    <row r="31" spans="1:8" ht="15.75">
      <c r="A31" s="38">
        <v>22</v>
      </c>
      <c r="B31" s="44" t="s">
        <v>175</v>
      </c>
      <c r="C31" s="232">
        <f>SUM(C22:C30)</f>
        <v>462367689.24000013</v>
      </c>
      <c r="D31" s="232">
        <f>SUM(D22:D30)</f>
        <v>731195108.69011033</v>
      </c>
      <c r="E31" s="232">
        <f>C31+D31</f>
        <v>1193562797.9301105</v>
      </c>
      <c r="F31" s="232">
        <f>SUM(F22:F30)</f>
        <v>333188840.04000056</v>
      </c>
      <c r="G31" s="232">
        <f>SUM(G22:G30)</f>
        <v>641934822.01999092</v>
      </c>
      <c r="H31" s="234">
        <f t="shared" si="1"/>
        <v>975123662.05999148</v>
      </c>
    </row>
    <row r="32" spans="1:8" ht="15.75">
      <c r="A32" s="38"/>
      <c r="B32" s="39" t="s">
        <v>184</v>
      </c>
      <c r="C32" s="231"/>
      <c r="D32" s="231"/>
      <c r="E32" s="231"/>
      <c r="F32" s="231"/>
      <c r="G32" s="231"/>
      <c r="H32" s="236"/>
    </row>
    <row r="33" spans="1:8" ht="15.75">
      <c r="A33" s="38">
        <v>23</v>
      </c>
      <c r="B33" s="42" t="s">
        <v>176</v>
      </c>
      <c r="C33" s="231">
        <v>121372000</v>
      </c>
      <c r="D33" s="231">
        <v>0</v>
      </c>
      <c r="E33" s="232">
        <f t="shared" si="2"/>
        <v>121372000</v>
      </c>
      <c r="F33" s="231">
        <v>121372000</v>
      </c>
      <c r="G33" s="231">
        <v>0</v>
      </c>
      <c r="H33" s="234">
        <f t="shared" si="1"/>
        <v>121372000</v>
      </c>
    </row>
    <row r="34" spans="1:8" ht="15.75">
      <c r="A34" s="38">
        <v>24</v>
      </c>
      <c r="B34" s="42" t="s">
        <v>177</v>
      </c>
      <c r="C34" s="231">
        <v>0</v>
      </c>
      <c r="D34" s="231">
        <v>0</v>
      </c>
      <c r="E34" s="232">
        <f t="shared" si="2"/>
        <v>0</v>
      </c>
      <c r="F34" s="231">
        <v>0</v>
      </c>
      <c r="G34" s="231">
        <v>0</v>
      </c>
      <c r="H34" s="234">
        <f t="shared" si="1"/>
        <v>0</v>
      </c>
    </row>
    <row r="35" spans="1:8" ht="15.75">
      <c r="A35" s="38">
        <v>25</v>
      </c>
      <c r="B35" s="43" t="s">
        <v>178</v>
      </c>
      <c r="C35" s="231">
        <v>0</v>
      </c>
      <c r="D35" s="231">
        <v>0</v>
      </c>
      <c r="E35" s="232">
        <f t="shared" si="2"/>
        <v>0</v>
      </c>
      <c r="F35" s="231">
        <v>0</v>
      </c>
      <c r="G35" s="231">
        <v>0</v>
      </c>
      <c r="H35" s="234">
        <f t="shared" si="1"/>
        <v>0</v>
      </c>
    </row>
    <row r="36" spans="1:8" ht="15.75">
      <c r="A36" s="38">
        <v>26</v>
      </c>
      <c r="B36" s="42" t="s">
        <v>179</v>
      </c>
      <c r="C36" s="231">
        <v>0</v>
      </c>
      <c r="D36" s="231">
        <v>0</v>
      </c>
      <c r="E36" s="232">
        <f t="shared" si="2"/>
        <v>0</v>
      </c>
      <c r="F36" s="231">
        <v>0</v>
      </c>
      <c r="G36" s="231">
        <v>0</v>
      </c>
      <c r="H36" s="234">
        <f t="shared" si="1"/>
        <v>0</v>
      </c>
    </row>
    <row r="37" spans="1:8" ht="15.75">
      <c r="A37" s="38">
        <v>27</v>
      </c>
      <c r="B37" s="42" t="s">
        <v>180</v>
      </c>
      <c r="C37" s="231">
        <v>0</v>
      </c>
      <c r="D37" s="231">
        <v>0</v>
      </c>
      <c r="E37" s="232">
        <f t="shared" si="2"/>
        <v>0</v>
      </c>
      <c r="F37" s="231">
        <v>0</v>
      </c>
      <c r="G37" s="231">
        <v>0</v>
      </c>
      <c r="H37" s="234">
        <f t="shared" si="1"/>
        <v>0</v>
      </c>
    </row>
    <row r="38" spans="1:8" ht="15.75">
      <c r="A38" s="38">
        <v>28</v>
      </c>
      <c r="B38" s="42" t="s">
        <v>181</v>
      </c>
      <c r="C38" s="231">
        <v>19154988.900000006</v>
      </c>
      <c r="D38" s="231">
        <v>0</v>
      </c>
      <c r="E38" s="232">
        <f t="shared" si="2"/>
        <v>19154988.900000006</v>
      </c>
      <c r="F38" s="231">
        <v>-1597317.7400000133</v>
      </c>
      <c r="G38" s="231">
        <v>0</v>
      </c>
      <c r="H38" s="234">
        <f t="shared" si="1"/>
        <v>-1597317.7400000133</v>
      </c>
    </row>
    <row r="39" spans="1:8" ht="15.75">
      <c r="A39" s="38">
        <v>29</v>
      </c>
      <c r="B39" s="42" t="s">
        <v>196</v>
      </c>
      <c r="C39" s="231">
        <v>0</v>
      </c>
      <c r="D39" s="231">
        <v>0</v>
      </c>
      <c r="E39" s="232">
        <f t="shared" si="2"/>
        <v>0</v>
      </c>
      <c r="F39" s="231">
        <v>0</v>
      </c>
      <c r="G39" s="231">
        <v>0</v>
      </c>
      <c r="H39" s="234">
        <f t="shared" si="1"/>
        <v>0</v>
      </c>
    </row>
    <row r="40" spans="1:8" ht="15.75">
      <c r="A40" s="38">
        <v>30</v>
      </c>
      <c r="B40" s="44" t="s">
        <v>182</v>
      </c>
      <c r="C40" s="231">
        <v>140526988.90000001</v>
      </c>
      <c r="D40" s="231">
        <v>0</v>
      </c>
      <c r="E40" s="232">
        <f t="shared" si="2"/>
        <v>140526988.90000001</v>
      </c>
      <c r="F40" s="231">
        <v>119774682.25999999</v>
      </c>
      <c r="G40" s="231">
        <v>0</v>
      </c>
      <c r="H40" s="234">
        <f t="shared" si="1"/>
        <v>119774682.25999999</v>
      </c>
    </row>
    <row r="41" spans="1:8" ht="16.5" thickBot="1">
      <c r="A41" s="45">
        <v>31</v>
      </c>
      <c r="B41" s="46" t="s">
        <v>197</v>
      </c>
      <c r="C41" s="237">
        <f>C31+C40</f>
        <v>602894678.1400001</v>
      </c>
      <c r="D41" s="237">
        <f>D31+D40</f>
        <v>731195108.69011033</v>
      </c>
      <c r="E41" s="237">
        <f>C41+D41</f>
        <v>1334089786.8301105</v>
      </c>
      <c r="F41" s="237">
        <f>F31+F40</f>
        <v>452963522.30000055</v>
      </c>
      <c r="G41" s="237">
        <f>G31+G40</f>
        <v>641934822.01999092</v>
      </c>
      <c r="H41" s="238">
        <f>F41+G41</f>
        <v>1094898344.3199916</v>
      </c>
    </row>
    <row r="43" spans="1:8">
      <c r="B43" s="47"/>
    </row>
  </sheetData>
  <mergeCells count="2">
    <mergeCell ref="C5:E5"/>
    <mergeCell ref="F5:H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44" activePane="bottomRight" state="frozen"/>
      <selection activeCell="C50" sqref="C50"/>
      <selection pane="topRight" activeCell="C50" sqref="C50"/>
      <selection pane="bottomLeft" activeCell="C50" sqref="C50"/>
      <selection pane="bottomRight" activeCell="C50" sqref="C50"/>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188</v>
      </c>
      <c r="B1" s="17" t="str">
        <f>Info!C2</f>
        <v>ს.ს. "ტერაბანკი"</v>
      </c>
      <c r="C1" s="17"/>
    </row>
    <row r="2" spans="1:8" ht="15.75">
      <c r="A2" s="18" t="s">
        <v>189</v>
      </c>
      <c r="B2" s="435">
        <f>'1. key ratios'!B2</f>
        <v>44377</v>
      </c>
      <c r="C2" s="30"/>
      <c r="D2" s="19"/>
      <c r="E2" s="19"/>
      <c r="F2" s="19"/>
      <c r="G2" s="19"/>
      <c r="H2" s="19"/>
    </row>
    <row r="3" spans="1:8" ht="15.75">
      <c r="A3" s="18"/>
      <c r="B3" s="17"/>
      <c r="C3" s="30"/>
      <c r="D3" s="19"/>
      <c r="E3" s="19"/>
      <c r="F3" s="19"/>
      <c r="G3" s="19"/>
      <c r="H3" s="19"/>
    </row>
    <row r="4" spans="1:8" ht="16.5" thickBot="1">
      <c r="A4" s="48" t="s">
        <v>330</v>
      </c>
      <c r="B4" s="31" t="s">
        <v>222</v>
      </c>
      <c r="C4" s="34"/>
      <c r="D4" s="34"/>
      <c r="E4" s="34"/>
      <c r="F4" s="48"/>
      <c r="G4" s="48"/>
      <c r="H4" s="49" t="s">
        <v>93</v>
      </c>
    </row>
    <row r="5" spans="1:8" ht="15.75">
      <c r="A5" s="124"/>
      <c r="B5" s="125"/>
      <c r="C5" s="673" t="s">
        <v>194</v>
      </c>
      <c r="D5" s="674"/>
      <c r="E5" s="675"/>
      <c r="F5" s="673" t="s">
        <v>195</v>
      </c>
      <c r="G5" s="674"/>
      <c r="H5" s="676"/>
    </row>
    <row r="6" spans="1:8">
      <c r="A6" s="126" t="s">
        <v>26</v>
      </c>
      <c r="B6" s="50"/>
      <c r="C6" s="51" t="s">
        <v>27</v>
      </c>
      <c r="D6" s="51" t="s">
        <v>96</v>
      </c>
      <c r="E6" s="51" t="s">
        <v>68</v>
      </c>
      <c r="F6" s="51" t="s">
        <v>27</v>
      </c>
      <c r="G6" s="51" t="s">
        <v>96</v>
      </c>
      <c r="H6" s="127" t="s">
        <v>68</v>
      </c>
    </row>
    <row r="7" spans="1:8">
      <c r="A7" s="128"/>
      <c r="B7" s="53" t="s">
        <v>92</v>
      </c>
      <c r="C7" s="54"/>
      <c r="D7" s="54"/>
      <c r="E7" s="54"/>
      <c r="F7" s="54"/>
      <c r="G7" s="54"/>
      <c r="H7" s="129"/>
    </row>
    <row r="8" spans="1:8" ht="15.75">
      <c r="A8" s="128">
        <v>1</v>
      </c>
      <c r="B8" s="55" t="s">
        <v>97</v>
      </c>
      <c r="C8" s="239">
        <v>560358.27</v>
      </c>
      <c r="D8" s="239">
        <v>-279207.08999999997</v>
      </c>
      <c r="E8" s="232">
        <f>C8+D8</f>
        <v>281151.18000000005</v>
      </c>
      <c r="F8" s="239">
        <v>537014.9</v>
      </c>
      <c r="G8" s="239">
        <v>116593.87999999999</v>
      </c>
      <c r="H8" s="240">
        <f>F8+G8</f>
        <v>653608.78</v>
      </c>
    </row>
    <row r="9" spans="1:8" ht="15.75">
      <c r="A9" s="128">
        <v>2</v>
      </c>
      <c r="B9" s="55" t="s">
        <v>98</v>
      </c>
      <c r="C9" s="241">
        <f>SUM(C10:C18)</f>
        <v>23363666.130000003</v>
      </c>
      <c r="D9" s="241">
        <f>SUM(D10:D18)</f>
        <v>21147304.579999998</v>
      </c>
      <c r="E9" s="232">
        <f t="shared" ref="E9:E67" si="0">C9+D9</f>
        <v>44510970.710000001</v>
      </c>
      <c r="F9" s="241">
        <f>SUM(F10:F18)</f>
        <v>18088327.949999999</v>
      </c>
      <c r="G9" s="241">
        <f>SUM(G10:G18)</f>
        <v>18538181.07</v>
      </c>
      <c r="H9" s="240">
        <f t="shared" ref="H9:H67" si="1">F9+G9</f>
        <v>36626509.019999996</v>
      </c>
    </row>
    <row r="10" spans="1:8" ht="15.75">
      <c r="A10" s="128">
        <v>2.1</v>
      </c>
      <c r="B10" s="56" t="s">
        <v>99</v>
      </c>
      <c r="C10" s="239">
        <v>0</v>
      </c>
      <c r="D10" s="239">
        <v>0</v>
      </c>
      <c r="E10" s="232">
        <f t="shared" si="0"/>
        <v>0</v>
      </c>
      <c r="F10" s="239">
        <v>0</v>
      </c>
      <c r="G10" s="239">
        <v>0</v>
      </c>
      <c r="H10" s="240">
        <f t="shared" si="1"/>
        <v>0</v>
      </c>
    </row>
    <row r="11" spans="1:8" ht="15.75">
      <c r="A11" s="128">
        <v>2.2000000000000002</v>
      </c>
      <c r="B11" s="56" t="s">
        <v>100</v>
      </c>
      <c r="C11" s="239">
        <v>5118355.1800000006</v>
      </c>
      <c r="D11" s="239">
        <v>7972518.4799999995</v>
      </c>
      <c r="E11" s="232">
        <f t="shared" si="0"/>
        <v>13090873.66</v>
      </c>
      <c r="F11" s="239">
        <v>3457105.82</v>
      </c>
      <c r="G11" s="239">
        <v>6921821.4100000001</v>
      </c>
      <c r="H11" s="240">
        <f t="shared" si="1"/>
        <v>10378927.23</v>
      </c>
    </row>
    <row r="12" spans="1:8" ht="15.75">
      <c r="A12" s="128">
        <v>2.2999999999999998</v>
      </c>
      <c r="B12" s="56" t="s">
        <v>101</v>
      </c>
      <c r="C12" s="239">
        <v>0</v>
      </c>
      <c r="D12" s="239">
        <v>406010.13</v>
      </c>
      <c r="E12" s="232">
        <f t="shared" si="0"/>
        <v>406010.13</v>
      </c>
      <c r="F12" s="239">
        <v>0</v>
      </c>
      <c r="G12" s="239">
        <v>893900.80000000005</v>
      </c>
      <c r="H12" s="240">
        <f t="shared" si="1"/>
        <v>893900.80000000005</v>
      </c>
    </row>
    <row r="13" spans="1:8" ht="15.75">
      <c r="A13" s="128">
        <v>2.4</v>
      </c>
      <c r="B13" s="56" t="s">
        <v>102</v>
      </c>
      <c r="C13" s="239">
        <v>298361.62</v>
      </c>
      <c r="D13" s="239">
        <v>62320.27</v>
      </c>
      <c r="E13" s="232">
        <f t="shared" si="0"/>
        <v>360681.89</v>
      </c>
      <c r="F13" s="239">
        <v>198262.75</v>
      </c>
      <c r="G13" s="239">
        <v>164519.56000000003</v>
      </c>
      <c r="H13" s="240">
        <f t="shared" si="1"/>
        <v>362782.31000000006</v>
      </c>
    </row>
    <row r="14" spans="1:8" ht="15.75">
      <c r="A14" s="128">
        <v>2.5</v>
      </c>
      <c r="B14" s="56" t="s">
        <v>103</v>
      </c>
      <c r="C14" s="239">
        <v>407361.61999999994</v>
      </c>
      <c r="D14" s="239">
        <v>2876042.4399999995</v>
      </c>
      <c r="E14" s="232">
        <f t="shared" si="0"/>
        <v>3283404.0599999996</v>
      </c>
      <c r="F14" s="239">
        <v>223875.21999999997</v>
      </c>
      <c r="G14" s="239">
        <v>1922514.98</v>
      </c>
      <c r="H14" s="240">
        <f t="shared" si="1"/>
        <v>2146390.2000000002</v>
      </c>
    </row>
    <row r="15" spans="1:8" ht="15.75">
      <c r="A15" s="128">
        <v>2.6</v>
      </c>
      <c r="B15" s="56" t="s">
        <v>104</v>
      </c>
      <c r="C15" s="239">
        <v>10932.220000000001</v>
      </c>
      <c r="D15" s="239">
        <v>12609.2</v>
      </c>
      <c r="E15" s="232">
        <f t="shared" si="0"/>
        <v>23541.420000000002</v>
      </c>
      <c r="F15" s="239">
        <v>13767.94</v>
      </c>
      <c r="G15" s="239">
        <v>12917.57</v>
      </c>
      <c r="H15" s="240">
        <f t="shared" si="1"/>
        <v>26685.510000000002</v>
      </c>
    </row>
    <row r="16" spans="1:8" ht="15.75">
      <c r="A16" s="128">
        <v>2.7</v>
      </c>
      <c r="B16" s="56" t="s">
        <v>105</v>
      </c>
      <c r="C16" s="239">
        <v>4601.87</v>
      </c>
      <c r="D16" s="239">
        <v>0</v>
      </c>
      <c r="E16" s="232">
        <f t="shared" si="0"/>
        <v>4601.87</v>
      </c>
      <c r="F16" s="239">
        <v>2133.04</v>
      </c>
      <c r="G16" s="239">
        <v>0</v>
      </c>
      <c r="H16" s="240">
        <f t="shared" si="1"/>
        <v>2133.04</v>
      </c>
    </row>
    <row r="17" spans="1:8" ht="15.75">
      <c r="A17" s="128">
        <v>2.8</v>
      </c>
      <c r="B17" s="56" t="s">
        <v>106</v>
      </c>
      <c r="C17" s="239">
        <v>14856457.670000002</v>
      </c>
      <c r="D17" s="239">
        <v>9193174.8300000001</v>
      </c>
      <c r="E17" s="232">
        <f t="shared" si="0"/>
        <v>24049632.5</v>
      </c>
      <c r="F17" s="239">
        <v>12286369.42</v>
      </c>
      <c r="G17" s="239">
        <v>7853784.3099999987</v>
      </c>
      <c r="H17" s="240">
        <f t="shared" si="1"/>
        <v>20140153.729999997</v>
      </c>
    </row>
    <row r="18" spans="1:8" ht="15.75">
      <c r="A18" s="128">
        <v>2.9</v>
      </c>
      <c r="B18" s="56" t="s">
        <v>107</v>
      </c>
      <c r="C18" s="239">
        <v>2667595.9499999997</v>
      </c>
      <c r="D18" s="239">
        <v>624629.23</v>
      </c>
      <c r="E18" s="232">
        <f t="shared" si="0"/>
        <v>3292225.1799999997</v>
      </c>
      <c r="F18" s="239">
        <v>1906813.7600000002</v>
      </c>
      <c r="G18" s="239">
        <v>768722.43999999983</v>
      </c>
      <c r="H18" s="240">
        <f t="shared" si="1"/>
        <v>2675536.2000000002</v>
      </c>
    </row>
    <row r="19" spans="1:8" ht="15.75">
      <c r="A19" s="128">
        <v>3</v>
      </c>
      <c r="B19" s="55" t="s">
        <v>108</v>
      </c>
      <c r="C19" s="239">
        <v>500540.21</v>
      </c>
      <c r="D19" s="239">
        <v>630733.68000000005</v>
      </c>
      <c r="E19" s="232">
        <f t="shared" si="0"/>
        <v>1131273.8900000001</v>
      </c>
      <c r="F19" s="239">
        <v>483828.06999999995</v>
      </c>
      <c r="G19" s="239">
        <v>591095.10000000009</v>
      </c>
      <c r="H19" s="240">
        <f t="shared" si="1"/>
        <v>1074923.17</v>
      </c>
    </row>
    <row r="20" spans="1:8" ht="15.75">
      <c r="A20" s="128">
        <v>4</v>
      </c>
      <c r="B20" s="55" t="s">
        <v>109</v>
      </c>
      <c r="C20" s="239">
        <v>3961682.07</v>
      </c>
      <c r="D20" s="239">
        <v>0</v>
      </c>
      <c r="E20" s="232">
        <f t="shared" si="0"/>
        <v>3961682.07</v>
      </c>
      <c r="F20" s="239">
        <v>2800127.0700000003</v>
      </c>
      <c r="G20" s="239">
        <v>0</v>
      </c>
      <c r="H20" s="240">
        <f t="shared" si="1"/>
        <v>2800127.0700000003</v>
      </c>
    </row>
    <row r="21" spans="1:8" ht="15.75">
      <c r="A21" s="128">
        <v>5</v>
      </c>
      <c r="B21" s="55" t="s">
        <v>110</v>
      </c>
      <c r="C21" s="239">
        <v>383870.38</v>
      </c>
      <c r="D21" s="239">
        <v>234523.34999999998</v>
      </c>
      <c r="E21" s="232">
        <f t="shared" si="0"/>
        <v>618393.73</v>
      </c>
      <c r="F21" s="239">
        <v>310279.80999999994</v>
      </c>
      <c r="G21" s="239">
        <v>195198.36</v>
      </c>
      <c r="H21" s="240">
        <f>F21+G21</f>
        <v>505478.16999999993</v>
      </c>
    </row>
    <row r="22" spans="1:8" ht="15.75">
      <c r="A22" s="128">
        <v>6</v>
      </c>
      <c r="B22" s="57" t="s">
        <v>111</v>
      </c>
      <c r="C22" s="241">
        <f>C8+C9+C19+C20+C21</f>
        <v>28770117.060000002</v>
      </c>
      <c r="D22" s="241">
        <f>D8+D9+D19+D20+D21</f>
        <v>21733354.52</v>
      </c>
      <c r="E22" s="232">
        <f>C22+D22</f>
        <v>50503471.579999998</v>
      </c>
      <c r="F22" s="241">
        <f>F8+F9+F19+F20+F21</f>
        <v>22219577.799999997</v>
      </c>
      <c r="G22" s="241">
        <f>G8+G9+G19+G20+G21</f>
        <v>19441068.41</v>
      </c>
      <c r="H22" s="240">
        <f>F22+G22</f>
        <v>41660646.209999993</v>
      </c>
    </row>
    <row r="23" spans="1:8" ht="15.75">
      <c r="A23" s="128"/>
      <c r="B23" s="53" t="s">
        <v>90</v>
      </c>
      <c r="C23" s="239"/>
      <c r="D23" s="239"/>
      <c r="E23" s="231"/>
      <c r="F23" s="239"/>
      <c r="G23" s="239"/>
      <c r="H23" s="242"/>
    </row>
    <row r="24" spans="1:8" ht="15.75">
      <c r="A24" s="128">
        <v>7</v>
      </c>
      <c r="B24" s="55" t="s">
        <v>112</v>
      </c>
      <c r="C24" s="239">
        <v>3585430.1399999997</v>
      </c>
      <c r="D24" s="239">
        <v>1748504.8399999999</v>
      </c>
      <c r="E24" s="232">
        <f t="shared" si="0"/>
        <v>5333934.9799999995</v>
      </c>
      <c r="F24" s="239">
        <v>2493417.7800000003</v>
      </c>
      <c r="G24" s="239">
        <v>1069159.07</v>
      </c>
      <c r="H24" s="240">
        <f t="shared" si="1"/>
        <v>3562576.8500000006</v>
      </c>
    </row>
    <row r="25" spans="1:8" ht="15.75">
      <c r="A25" s="128">
        <v>8</v>
      </c>
      <c r="B25" s="55" t="s">
        <v>113</v>
      </c>
      <c r="C25" s="239">
        <v>7624705.2299999995</v>
      </c>
      <c r="D25" s="239">
        <v>5000956.22</v>
      </c>
      <c r="E25" s="232">
        <f t="shared" si="0"/>
        <v>12625661.449999999</v>
      </c>
      <c r="F25" s="239">
        <v>6261630.4500000011</v>
      </c>
      <c r="G25" s="239">
        <v>4843440.4400000004</v>
      </c>
      <c r="H25" s="240">
        <f t="shared" si="1"/>
        <v>11105070.890000001</v>
      </c>
    </row>
    <row r="26" spans="1:8" ht="15.75">
      <c r="A26" s="128">
        <v>9</v>
      </c>
      <c r="B26" s="55" t="s">
        <v>114</v>
      </c>
      <c r="C26" s="239">
        <v>4730.13</v>
      </c>
      <c r="D26" s="239">
        <v>66537.5</v>
      </c>
      <c r="E26" s="232">
        <f t="shared" si="0"/>
        <v>71267.63</v>
      </c>
      <c r="F26" s="239">
        <v>466.85</v>
      </c>
      <c r="G26" s="239">
        <v>59511.29</v>
      </c>
      <c r="H26" s="240">
        <f t="shared" si="1"/>
        <v>59978.14</v>
      </c>
    </row>
    <row r="27" spans="1:8" ht="15.75">
      <c r="A27" s="128">
        <v>10</v>
      </c>
      <c r="B27" s="55" t="s">
        <v>115</v>
      </c>
      <c r="C27" s="239">
        <v>0</v>
      </c>
      <c r="D27" s="239">
        <v>0</v>
      </c>
      <c r="E27" s="232">
        <f t="shared" si="0"/>
        <v>0</v>
      </c>
      <c r="F27" s="239">
        <v>0</v>
      </c>
      <c r="G27" s="239">
        <v>0</v>
      </c>
      <c r="H27" s="240">
        <f t="shared" si="1"/>
        <v>0</v>
      </c>
    </row>
    <row r="28" spans="1:8" ht="15.75">
      <c r="A28" s="128">
        <v>11</v>
      </c>
      <c r="B28" s="55" t="s">
        <v>116</v>
      </c>
      <c r="C28" s="239">
        <v>5155455.9600000009</v>
      </c>
      <c r="D28" s="239">
        <v>3679166.2199999997</v>
      </c>
      <c r="E28" s="232">
        <f t="shared" si="0"/>
        <v>8834622.1799999997</v>
      </c>
      <c r="F28" s="239">
        <v>3362092.71</v>
      </c>
      <c r="G28" s="239">
        <v>3415020.1399999997</v>
      </c>
      <c r="H28" s="240">
        <f t="shared" si="1"/>
        <v>6777112.8499999996</v>
      </c>
    </row>
    <row r="29" spans="1:8" ht="15.75">
      <c r="A29" s="128">
        <v>12</v>
      </c>
      <c r="B29" s="55" t="s">
        <v>117</v>
      </c>
      <c r="C29" s="239">
        <v>0</v>
      </c>
      <c r="D29" s="239">
        <v>0</v>
      </c>
      <c r="E29" s="232">
        <f t="shared" si="0"/>
        <v>0</v>
      </c>
      <c r="F29" s="239">
        <v>0</v>
      </c>
      <c r="G29" s="239">
        <v>0</v>
      </c>
      <c r="H29" s="240">
        <f t="shared" si="1"/>
        <v>0</v>
      </c>
    </row>
    <row r="30" spans="1:8" ht="15.75">
      <c r="A30" s="128">
        <v>13</v>
      </c>
      <c r="B30" s="58" t="s">
        <v>118</v>
      </c>
      <c r="C30" s="241">
        <f>SUM(C24:C29)</f>
        <v>16370321.460000001</v>
      </c>
      <c r="D30" s="241">
        <f>SUM(D24:D29)</f>
        <v>10495164.779999999</v>
      </c>
      <c r="E30" s="232">
        <f t="shared" si="0"/>
        <v>26865486.240000002</v>
      </c>
      <c r="F30" s="241">
        <f>SUM(F24:F29)</f>
        <v>12117607.789999999</v>
      </c>
      <c r="G30" s="241">
        <f>SUM(G24:G29)</f>
        <v>9387130.9400000013</v>
      </c>
      <c r="H30" s="240">
        <f t="shared" si="1"/>
        <v>21504738.73</v>
      </c>
    </row>
    <row r="31" spans="1:8" ht="15.75">
      <c r="A31" s="128">
        <v>14</v>
      </c>
      <c r="B31" s="58" t="s">
        <v>119</v>
      </c>
      <c r="C31" s="241">
        <f>C22-C30</f>
        <v>12399795.600000001</v>
      </c>
      <c r="D31" s="241">
        <f>D22-D30</f>
        <v>11238189.74</v>
      </c>
      <c r="E31" s="232">
        <f t="shared" si="0"/>
        <v>23637985.340000004</v>
      </c>
      <c r="F31" s="241">
        <f>F22-F30</f>
        <v>10101970.009999998</v>
      </c>
      <c r="G31" s="241">
        <f>G22-G30</f>
        <v>10053937.469999999</v>
      </c>
      <c r="H31" s="240">
        <f t="shared" si="1"/>
        <v>20155907.479999997</v>
      </c>
    </row>
    <row r="32" spans="1:8">
      <c r="A32" s="128"/>
      <c r="B32" s="53"/>
      <c r="C32" s="243"/>
      <c r="D32" s="243"/>
      <c r="E32" s="243"/>
      <c r="F32" s="243"/>
      <c r="G32" s="243"/>
      <c r="H32" s="244"/>
    </row>
    <row r="33" spans="1:8" ht="15.75">
      <c r="A33" s="128"/>
      <c r="B33" s="53" t="s">
        <v>120</v>
      </c>
      <c r="C33" s="239"/>
      <c r="D33" s="239"/>
      <c r="E33" s="231"/>
      <c r="F33" s="239"/>
      <c r="G33" s="239"/>
      <c r="H33" s="242"/>
    </row>
    <row r="34" spans="1:8" ht="15.75">
      <c r="A34" s="128">
        <v>15</v>
      </c>
      <c r="B34" s="52" t="s">
        <v>91</v>
      </c>
      <c r="C34" s="245">
        <f>C35-C36</f>
        <v>1164303.4000000008</v>
      </c>
      <c r="D34" s="245">
        <f>D35-D36</f>
        <v>367010.69000000018</v>
      </c>
      <c r="E34" s="232">
        <f t="shared" si="0"/>
        <v>1531314.090000001</v>
      </c>
      <c r="F34" s="245">
        <f>F35-F36</f>
        <v>1099643.3399999994</v>
      </c>
      <c r="G34" s="245">
        <f>G35-G36</f>
        <v>118799.98000000045</v>
      </c>
      <c r="H34" s="240">
        <f t="shared" si="1"/>
        <v>1218443.3199999998</v>
      </c>
    </row>
    <row r="35" spans="1:8" ht="15.75">
      <c r="A35" s="128">
        <v>15.1</v>
      </c>
      <c r="B35" s="56" t="s">
        <v>121</v>
      </c>
      <c r="C35" s="239">
        <v>2255423.3000000007</v>
      </c>
      <c r="D35" s="239">
        <v>1318822.0000000002</v>
      </c>
      <c r="E35" s="232">
        <f t="shared" si="0"/>
        <v>3574245.3000000007</v>
      </c>
      <c r="F35" s="239">
        <v>2107987.8599999994</v>
      </c>
      <c r="G35" s="239">
        <v>1352146.3100000003</v>
      </c>
      <c r="H35" s="240">
        <f t="shared" si="1"/>
        <v>3460134.17</v>
      </c>
    </row>
    <row r="36" spans="1:8" ht="15.75">
      <c r="A36" s="128">
        <v>15.2</v>
      </c>
      <c r="B36" s="56" t="s">
        <v>122</v>
      </c>
      <c r="C36" s="239">
        <v>1091119.8999999999</v>
      </c>
      <c r="D36" s="239">
        <v>951811.31</v>
      </c>
      <c r="E36" s="232">
        <f t="shared" si="0"/>
        <v>2042931.21</v>
      </c>
      <c r="F36" s="239">
        <v>1008344.5200000001</v>
      </c>
      <c r="G36" s="239">
        <v>1233346.3299999998</v>
      </c>
      <c r="H36" s="240">
        <f t="shared" si="1"/>
        <v>2241690.85</v>
      </c>
    </row>
    <row r="37" spans="1:8" ht="15.75">
      <c r="A37" s="128">
        <v>16</v>
      </c>
      <c r="B37" s="55" t="s">
        <v>123</v>
      </c>
      <c r="C37" s="239">
        <v>0</v>
      </c>
      <c r="D37" s="239">
        <v>0</v>
      </c>
      <c r="E37" s="232">
        <f t="shared" si="0"/>
        <v>0</v>
      </c>
      <c r="F37" s="239">
        <v>0</v>
      </c>
      <c r="G37" s="239">
        <v>0</v>
      </c>
      <c r="H37" s="240">
        <f t="shared" si="1"/>
        <v>0</v>
      </c>
    </row>
    <row r="38" spans="1:8" ht="15.75">
      <c r="A38" s="128">
        <v>17</v>
      </c>
      <c r="B38" s="55" t="s">
        <v>124</v>
      </c>
      <c r="C38" s="239">
        <v>0</v>
      </c>
      <c r="D38" s="239">
        <v>0</v>
      </c>
      <c r="E38" s="232">
        <f t="shared" si="0"/>
        <v>0</v>
      </c>
      <c r="F38" s="239">
        <v>0</v>
      </c>
      <c r="G38" s="239">
        <v>0</v>
      </c>
      <c r="H38" s="240">
        <f t="shared" si="1"/>
        <v>0</v>
      </c>
    </row>
    <row r="39" spans="1:8" ht="15.75">
      <c r="A39" s="128">
        <v>18</v>
      </c>
      <c r="B39" s="55" t="s">
        <v>125</v>
      </c>
      <c r="C39" s="239">
        <v>0</v>
      </c>
      <c r="D39" s="239">
        <v>0</v>
      </c>
      <c r="E39" s="232">
        <f t="shared" si="0"/>
        <v>0</v>
      </c>
      <c r="F39" s="239">
        <v>0</v>
      </c>
      <c r="G39" s="239">
        <v>0</v>
      </c>
      <c r="H39" s="240">
        <f t="shared" si="1"/>
        <v>0</v>
      </c>
    </row>
    <row r="40" spans="1:8" ht="15.75">
      <c r="A40" s="128">
        <v>19</v>
      </c>
      <c r="B40" s="55" t="s">
        <v>126</v>
      </c>
      <c r="C40" s="239">
        <v>3638531.2700000009</v>
      </c>
      <c r="D40" s="239">
        <v>0</v>
      </c>
      <c r="E40" s="232">
        <f t="shared" si="0"/>
        <v>3638531.2700000009</v>
      </c>
      <c r="F40" s="239">
        <v>1441485.1300000013</v>
      </c>
      <c r="G40" s="239">
        <v>0</v>
      </c>
      <c r="H40" s="240">
        <f t="shared" si="1"/>
        <v>1441485.1300000013</v>
      </c>
    </row>
    <row r="41" spans="1:8" ht="15.75">
      <c r="A41" s="128">
        <v>20</v>
      </c>
      <c r="B41" s="55" t="s">
        <v>127</v>
      </c>
      <c r="C41" s="239">
        <v>-3467428.5600000005</v>
      </c>
      <c r="D41" s="239">
        <v>0</v>
      </c>
      <c r="E41" s="232">
        <f t="shared" si="0"/>
        <v>-3467428.5600000005</v>
      </c>
      <c r="F41" s="239">
        <v>1750094.3499999978</v>
      </c>
      <c r="G41" s="239">
        <v>0</v>
      </c>
      <c r="H41" s="240">
        <f t="shared" si="1"/>
        <v>1750094.3499999978</v>
      </c>
    </row>
    <row r="42" spans="1:8" ht="15.75">
      <c r="A42" s="128">
        <v>21</v>
      </c>
      <c r="B42" s="55" t="s">
        <v>128</v>
      </c>
      <c r="C42" s="239">
        <v>137205.20000000001</v>
      </c>
      <c r="D42" s="239">
        <v>0</v>
      </c>
      <c r="E42" s="232">
        <f t="shared" si="0"/>
        <v>137205.20000000001</v>
      </c>
      <c r="F42" s="239">
        <v>92858.93</v>
      </c>
      <c r="G42" s="239">
        <v>0</v>
      </c>
      <c r="H42" s="240">
        <f t="shared" si="1"/>
        <v>92858.93</v>
      </c>
    </row>
    <row r="43" spans="1:8" ht="15.75">
      <c r="A43" s="128">
        <v>22</v>
      </c>
      <c r="B43" s="55" t="s">
        <v>129</v>
      </c>
      <c r="C43" s="239">
        <v>218.4</v>
      </c>
      <c r="D43" s="239">
        <v>3559.6800000000003</v>
      </c>
      <c r="E43" s="232">
        <f t="shared" si="0"/>
        <v>3778.0800000000004</v>
      </c>
      <c r="F43" s="239">
        <v>350</v>
      </c>
      <c r="G43" s="239">
        <v>1433</v>
      </c>
      <c r="H43" s="240">
        <f t="shared" si="1"/>
        <v>1783</v>
      </c>
    </row>
    <row r="44" spans="1:8" ht="15.75">
      <c r="A44" s="128">
        <v>23</v>
      </c>
      <c r="B44" s="55" t="s">
        <v>130</v>
      </c>
      <c r="C44" s="239">
        <v>18212.970000000005</v>
      </c>
      <c r="D44" s="239">
        <v>67706.149999999994</v>
      </c>
      <c r="E44" s="232">
        <f t="shared" si="0"/>
        <v>85919.12</v>
      </c>
      <c r="F44" s="239">
        <v>43371.090000000004</v>
      </c>
      <c r="G44" s="239">
        <v>176.82</v>
      </c>
      <c r="H44" s="240">
        <f t="shared" si="1"/>
        <v>43547.91</v>
      </c>
    </row>
    <row r="45" spans="1:8" ht="15.75">
      <c r="A45" s="128">
        <v>24</v>
      </c>
      <c r="B45" s="58" t="s">
        <v>131</v>
      </c>
      <c r="C45" s="241">
        <f>C34+C37+C38+C39+C40+C41+C42+C43+C44</f>
        <v>1491042.6800000011</v>
      </c>
      <c r="D45" s="241">
        <f>D34+D37+D38+D39+D40+D41+D42+D43+D44</f>
        <v>438276.52000000014</v>
      </c>
      <c r="E45" s="232">
        <f t="shared" si="0"/>
        <v>1929319.2000000011</v>
      </c>
      <c r="F45" s="241">
        <f>F34+F37+F38+F39+F40+F41+F42+F43+F44</f>
        <v>4427802.839999998</v>
      </c>
      <c r="G45" s="241">
        <f>G34+G37+G38+G39+G40+G41+G42+G43+G44</f>
        <v>120409.80000000045</v>
      </c>
      <c r="H45" s="240">
        <f t="shared" si="1"/>
        <v>4548212.6399999987</v>
      </c>
    </row>
    <row r="46" spans="1:8">
      <c r="A46" s="128"/>
      <c r="B46" s="53" t="s">
        <v>132</v>
      </c>
      <c r="C46" s="239"/>
      <c r="D46" s="239"/>
      <c r="E46" s="239"/>
      <c r="F46" s="239"/>
      <c r="G46" s="239"/>
      <c r="H46" s="246"/>
    </row>
    <row r="47" spans="1:8" ht="15.75">
      <c r="A47" s="128">
        <v>25</v>
      </c>
      <c r="B47" s="55" t="s">
        <v>133</v>
      </c>
      <c r="C47" s="239">
        <v>403370.13</v>
      </c>
      <c r="D47" s="239">
        <v>254228.71</v>
      </c>
      <c r="E47" s="232">
        <f t="shared" si="0"/>
        <v>657598.84</v>
      </c>
      <c r="F47" s="239">
        <v>299036.52</v>
      </c>
      <c r="G47" s="239">
        <v>253933.25000000003</v>
      </c>
      <c r="H47" s="240">
        <f t="shared" si="1"/>
        <v>552969.77</v>
      </c>
    </row>
    <row r="48" spans="1:8" ht="15.75">
      <c r="A48" s="128">
        <v>26</v>
      </c>
      <c r="B48" s="55" t="s">
        <v>134</v>
      </c>
      <c r="C48" s="239">
        <v>590307.89999999979</v>
      </c>
      <c r="D48" s="239">
        <v>74311.48</v>
      </c>
      <c r="E48" s="232">
        <f t="shared" si="0"/>
        <v>664619.37999999977</v>
      </c>
      <c r="F48" s="239">
        <v>696964.41999999993</v>
      </c>
      <c r="G48" s="239">
        <v>12452.24</v>
      </c>
      <c r="H48" s="240">
        <f t="shared" si="1"/>
        <v>709416.65999999992</v>
      </c>
    </row>
    <row r="49" spans="1:9" ht="15.75">
      <c r="A49" s="128">
        <v>27</v>
      </c>
      <c r="B49" s="55" t="s">
        <v>135</v>
      </c>
      <c r="C49" s="239">
        <v>6287840.089999998</v>
      </c>
      <c r="D49" s="239">
        <v>0</v>
      </c>
      <c r="E49" s="232">
        <f t="shared" si="0"/>
        <v>6287840.089999998</v>
      </c>
      <c r="F49" s="239">
        <v>6650574.9800000014</v>
      </c>
      <c r="G49" s="239">
        <v>0</v>
      </c>
      <c r="H49" s="240">
        <f t="shared" si="1"/>
        <v>6650574.9800000014</v>
      </c>
    </row>
    <row r="50" spans="1:9" ht="15.75">
      <c r="A50" s="128">
        <v>28</v>
      </c>
      <c r="B50" s="55" t="s">
        <v>271</v>
      </c>
      <c r="C50" s="239">
        <v>0</v>
      </c>
      <c r="D50" s="239">
        <v>0</v>
      </c>
      <c r="E50" s="232">
        <f t="shared" si="0"/>
        <v>0</v>
      </c>
      <c r="F50" s="239">
        <v>0</v>
      </c>
      <c r="G50" s="239">
        <v>0</v>
      </c>
      <c r="H50" s="240">
        <f t="shared" si="1"/>
        <v>0</v>
      </c>
    </row>
    <row r="51" spans="1:9" ht="15.75">
      <c r="A51" s="128">
        <v>29</v>
      </c>
      <c r="B51" s="55" t="s">
        <v>136</v>
      </c>
      <c r="C51" s="239">
        <v>2515449.87</v>
      </c>
      <c r="D51" s="239">
        <v>0</v>
      </c>
      <c r="E51" s="232">
        <f t="shared" si="0"/>
        <v>2515449.87</v>
      </c>
      <c r="F51" s="239">
        <v>2601030.7199999997</v>
      </c>
      <c r="G51" s="239">
        <v>0</v>
      </c>
      <c r="H51" s="240">
        <f t="shared" si="1"/>
        <v>2601030.7199999997</v>
      </c>
    </row>
    <row r="52" spans="1:9" ht="15.75">
      <c r="A52" s="128">
        <v>30</v>
      </c>
      <c r="B52" s="55" t="s">
        <v>137</v>
      </c>
      <c r="C52" s="239">
        <v>3992001.0199999996</v>
      </c>
      <c r="D52" s="239">
        <v>8582.43</v>
      </c>
      <c r="E52" s="232">
        <f t="shared" si="0"/>
        <v>4000583.4499999997</v>
      </c>
      <c r="F52" s="239">
        <v>2336519.350000002</v>
      </c>
      <c r="G52" s="239">
        <v>0</v>
      </c>
      <c r="H52" s="240">
        <f t="shared" si="1"/>
        <v>2336519.350000002</v>
      </c>
    </row>
    <row r="53" spans="1:9" ht="15.75">
      <c r="A53" s="128">
        <v>31</v>
      </c>
      <c r="B53" s="58" t="s">
        <v>138</v>
      </c>
      <c r="C53" s="241">
        <f>C47+C48+C49+C50+C51+C52</f>
        <v>13788969.009999998</v>
      </c>
      <c r="D53" s="241">
        <f>D47+D48+D49+D50+D51+D52</f>
        <v>337122.62</v>
      </c>
      <c r="E53" s="232">
        <f t="shared" si="0"/>
        <v>14126091.629999997</v>
      </c>
      <c r="F53" s="241">
        <f>F47+F48+F49+F50+F51+F52</f>
        <v>12584125.990000002</v>
      </c>
      <c r="G53" s="241">
        <f>G47+G48+G49+G50+G51+G52</f>
        <v>266385.49000000005</v>
      </c>
      <c r="H53" s="240">
        <f t="shared" si="1"/>
        <v>12850511.480000002</v>
      </c>
    </row>
    <row r="54" spans="1:9" ht="15.75">
      <c r="A54" s="128">
        <v>32</v>
      </c>
      <c r="B54" s="58" t="s">
        <v>139</v>
      </c>
      <c r="C54" s="241">
        <f>C45-C53</f>
        <v>-12297926.329999996</v>
      </c>
      <c r="D54" s="241">
        <f>D45-D53</f>
        <v>101153.90000000014</v>
      </c>
      <c r="E54" s="232">
        <f t="shared" si="0"/>
        <v>-12196772.429999996</v>
      </c>
      <c r="F54" s="241">
        <f>F45-F53</f>
        <v>-8156323.1500000041</v>
      </c>
      <c r="G54" s="241">
        <f>G45-G53</f>
        <v>-145975.68999999959</v>
      </c>
      <c r="H54" s="240">
        <f t="shared" si="1"/>
        <v>-8302298.8400000036</v>
      </c>
    </row>
    <row r="55" spans="1:9">
      <c r="A55" s="128"/>
      <c r="B55" s="53"/>
      <c r="C55" s="243"/>
      <c r="D55" s="243"/>
      <c r="E55" s="243"/>
      <c r="F55" s="243"/>
      <c r="G55" s="243"/>
      <c r="H55" s="244"/>
    </row>
    <row r="56" spans="1:9" ht="15.75">
      <c r="A56" s="128">
        <v>33</v>
      </c>
      <c r="B56" s="58" t="s">
        <v>140</v>
      </c>
      <c r="C56" s="241">
        <f>C31+C54</f>
        <v>101869.27000000514</v>
      </c>
      <c r="D56" s="241">
        <f>D31+D54</f>
        <v>11339343.640000001</v>
      </c>
      <c r="E56" s="232">
        <f t="shared" si="0"/>
        <v>11441212.910000006</v>
      </c>
      <c r="F56" s="241">
        <f>F31+F54</f>
        <v>1945646.8599999938</v>
      </c>
      <c r="G56" s="241">
        <f>G31+G54</f>
        <v>9907961.7799999993</v>
      </c>
      <c r="H56" s="240">
        <f t="shared" si="1"/>
        <v>11853608.639999993</v>
      </c>
    </row>
    <row r="57" spans="1:9">
      <c r="A57" s="128"/>
      <c r="B57" s="53"/>
      <c r="C57" s="243"/>
      <c r="D57" s="243"/>
      <c r="E57" s="243"/>
      <c r="F57" s="243"/>
      <c r="G57" s="243"/>
      <c r="H57" s="244"/>
    </row>
    <row r="58" spans="1:9" ht="15.75">
      <c r="A58" s="128">
        <v>34</v>
      </c>
      <c r="B58" s="55" t="s">
        <v>141</v>
      </c>
      <c r="C58" s="239">
        <v>-798756.65</v>
      </c>
      <c r="D58" s="239" t="s">
        <v>721</v>
      </c>
      <c r="E58" s="585">
        <f>C58</f>
        <v>-798756.65</v>
      </c>
      <c r="F58" s="239">
        <v>30264667.049999997</v>
      </c>
      <c r="G58" s="239" t="s">
        <v>721</v>
      </c>
      <c r="H58" s="586">
        <f>F58</f>
        <v>30264667.049999997</v>
      </c>
    </row>
    <row r="59" spans="1:9" s="205" customFormat="1" ht="15.75">
      <c r="A59" s="128">
        <v>35</v>
      </c>
      <c r="B59" s="52" t="s">
        <v>142</v>
      </c>
      <c r="C59" s="239">
        <v>0</v>
      </c>
      <c r="D59" s="239" t="s">
        <v>721</v>
      </c>
      <c r="E59" s="585">
        <f>C59</f>
        <v>0</v>
      </c>
      <c r="F59" s="239">
        <v>7638</v>
      </c>
      <c r="G59" s="239" t="s">
        <v>721</v>
      </c>
      <c r="H59" s="586">
        <f>F59</f>
        <v>7638</v>
      </c>
      <c r="I59" s="204"/>
    </row>
    <row r="60" spans="1:9" ht="15.75">
      <c r="A60" s="128">
        <v>36</v>
      </c>
      <c r="B60" s="55" t="s">
        <v>143</v>
      </c>
      <c r="C60" s="239">
        <v>-2792381.38</v>
      </c>
      <c r="D60" s="239" t="s">
        <v>721</v>
      </c>
      <c r="E60" s="585">
        <f>C60</f>
        <v>-2792381.38</v>
      </c>
      <c r="F60" s="239">
        <v>1132208.03</v>
      </c>
      <c r="G60" s="239" t="s">
        <v>721</v>
      </c>
      <c r="H60" s="586">
        <f>F60</f>
        <v>1132208.03</v>
      </c>
    </row>
    <row r="61" spans="1:9" ht="15.75">
      <c r="A61" s="128">
        <v>37</v>
      </c>
      <c r="B61" s="58" t="s">
        <v>144</v>
      </c>
      <c r="C61" s="241">
        <f>C58+C59+C60</f>
        <v>-3591138.03</v>
      </c>
      <c r="D61" s="241">
        <v>0</v>
      </c>
      <c r="E61" s="585">
        <f>C61</f>
        <v>-3591138.03</v>
      </c>
      <c r="F61" s="241">
        <f>F58+F59+F60</f>
        <v>31404513.079999998</v>
      </c>
      <c r="G61" s="587">
        <v>0</v>
      </c>
      <c r="H61" s="586">
        <f t="shared" ref="H61" si="2">F61+G61</f>
        <v>31404513.079999998</v>
      </c>
    </row>
    <row r="62" spans="1:9">
      <c r="A62" s="128"/>
      <c r="B62" s="59"/>
      <c r="C62" s="239"/>
      <c r="D62" s="239"/>
      <c r="E62" s="239"/>
      <c r="F62" s="239"/>
      <c r="G62" s="239"/>
      <c r="H62" s="246"/>
    </row>
    <row r="63" spans="1:9" ht="15.75">
      <c r="A63" s="128">
        <v>38</v>
      </c>
      <c r="B63" s="60" t="s">
        <v>272</v>
      </c>
      <c r="C63" s="241">
        <f>C56-C61</f>
        <v>3693007.3000000049</v>
      </c>
      <c r="D63" s="241">
        <f>D56-D61</f>
        <v>11339343.640000001</v>
      </c>
      <c r="E63" s="232">
        <f t="shared" si="0"/>
        <v>15032350.940000005</v>
      </c>
      <c r="F63" s="241">
        <f>F56-F61</f>
        <v>-29458866.220000006</v>
      </c>
      <c r="G63" s="241">
        <f>G56-G61</f>
        <v>9907961.7799999993</v>
      </c>
      <c r="H63" s="240">
        <f t="shared" si="1"/>
        <v>-19550904.440000005</v>
      </c>
    </row>
    <row r="64" spans="1:9" ht="15.75">
      <c r="A64" s="126">
        <v>39</v>
      </c>
      <c r="B64" s="55" t="s">
        <v>145</v>
      </c>
      <c r="C64" s="239">
        <v>0</v>
      </c>
      <c r="D64" s="239">
        <v>0</v>
      </c>
      <c r="E64" s="232">
        <f t="shared" si="0"/>
        <v>0</v>
      </c>
      <c r="F64" s="239">
        <v>0</v>
      </c>
      <c r="G64" s="239">
        <v>0</v>
      </c>
      <c r="H64" s="240">
        <f t="shared" si="1"/>
        <v>0</v>
      </c>
    </row>
    <row r="65" spans="1:8" ht="15.75">
      <c r="A65" s="128">
        <v>40</v>
      </c>
      <c r="B65" s="58" t="s">
        <v>146</v>
      </c>
      <c r="C65" s="241">
        <f>C63-C64</f>
        <v>3693007.3000000049</v>
      </c>
      <c r="D65" s="241">
        <f>D63-D64</f>
        <v>11339343.640000001</v>
      </c>
      <c r="E65" s="232">
        <f t="shared" si="0"/>
        <v>15032350.940000005</v>
      </c>
      <c r="F65" s="241">
        <f>F63-F64</f>
        <v>-29458866.220000006</v>
      </c>
      <c r="G65" s="241">
        <f>G63-G64</f>
        <v>9907961.7799999993</v>
      </c>
      <c r="H65" s="240">
        <f t="shared" si="1"/>
        <v>-19550904.440000005</v>
      </c>
    </row>
    <row r="66" spans="1:8" ht="15.75">
      <c r="A66" s="126">
        <v>41</v>
      </c>
      <c r="B66" s="55" t="s">
        <v>147</v>
      </c>
      <c r="C66" s="239">
        <v>0</v>
      </c>
      <c r="D66" s="239">
        <v>0</v>
      </c>
      <c r="E66" s="232">
        <f t="shared" si="0"/>
        <v>0</v>
      </c>
      <c r="F66" s="239">
        <v>0</v>
      </c>
      <c r="G66" s="239">
        <v>0</v>
      </c>
      <c r="H66" s="240">
        <f t="shared" si="1"/>
        <v>0</v>
      </c>
    </row>
    <row r="67" spans="1:8" ht="16.5" thickBot="1">
      <c r="A67" s="130">
        <v>42</v>
      </c>
      <c r="B67" s="131" t="s">
        <v>148</v>
      </c>
      <c r="C67" s="247">
        <f>C65+C66</f>
        <v>3693007.3000000049</v>
      </c>
      <c r="D67" s="247">
        <f>D65+D66</f>
        <v>11339343.640000001</v>
      </c>
      <c r="E67" s="237">
        <f t="shared" si="0"/>
        <v>15032350.940000005</v>
      </c>
      <c r="F67" s="247">
        <f>F65+F66</f>
        <v>-29458866.220000006</v>
      </c>
      <c r="G67" s="247">
        <f>G65+G66</f>
        <v>9907961.7799999993</v>
      </c>
      <c r="H67" s="248">
        <f t="shared" si="1"/>
        <v>-19550904.440000005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B1" sqref="B1"/>
    </sheetView>
  </sheetViews>
  <sheetFormatPr defaultRowHeight="15"/>
  <cols>
    <col min="1" max="1" width="9.5703125" bestFit="1" customWidth="1"/>
    <col min="2" max="2" width="72.28515625" customWidth="1"/>
    <col min="3" max="8" width="12.7109375" customWidth="1"/>
  </cols>
  <sheetData>
    <row r="1" spans="1:8">
      <c r="A1" s="2" t="s">
        <v>188</v>
      </c>
      <c r="B1" t="str">
        <f>Info!C2</f>
        <v>ს.ს. "ტერაბანკი"</v>
      </c>
    </row>
    <row r="2" spans="1:8">
      <c r="A2" s="2" t="s">
        <v>189</v>
      </c>
      <c r="B2" s="435">
        <f>'1. key ratios'!B2</f>
        <v>44377</v>
      </c>
    </row>
    <row r="3" spans="1:8">
      <c r="A3" s="2"/>
    </row>
    <row r="4" spans="1:8" ht="16.5" thickBot="1">
      <c r="A4" s="2" t="s">
        <v>331</v>
      </c>
      <c r="B4" s="2"/>
      <c r="C4" s="214"/>
      <c r="D4" s="214"/>
      <c r="E4" s="214"/>
      <c r="F4" s="215"/>
      <c r="G4" s="215"/>
      <c r="H4" s="216" t="s">
        <v>93</v>
      </c>
    </row>
    <row r="5" spans="1:8" ht="15.75">
      <c r="A5" s="677" t="s">
        <v>26</v>
      </c>
      <c r="B5" s="679" t="s">
        <v>245</v>
      </c>
      <c r="C5" s="681" t="s">
        <v>194</v>
      </c>
      <c r="D5" s="681"/>
      <c r="E5" s="681"/>
      <c r="F5" s="681" t="s">
        <v>195</v>
      </c>
      <c r="G5" s="681"/>
      <c r="H5" s="682"/>
    </row>
    <row r="6" spans="1:8">
      <c r="A6" s="678"/>
      <c r="B6" s="680"/>
      <c r="C6" s="40" t="s">
        <v>27</v>
      </c>
      <c r="D6" s="40" t="s">
        <v>94</v>
      </c>
      <c r="E6" s="40" t="s">
        <v>68</v>
      </c>
      <c r="F6" s="40" t="s">
        <v>27</v>
      </c>
      <c r="G6" s="40" t="s">
        <v>94</v>
      </c>
      <c r="H6" s="41" t="s">
        <v>68</v>
      </c>
    </row>
    <row r="7" spans="1:8" s="3" customFormat="1" ht="15.75">
      <c r="A7" s="217">
        <v>1</v>
      </c>
      <c r="B7" s="218" t="s">
        <v>367</v>
      </c>
      <c r="C7" s="233">
        <v>46423101.88000001</v>
      </c>
      <c r="D7" s="233">
        <v>28080025.450000003</v>
      </c>
      <c r="E7" s="249">
        <f>C7+D7</f>
        <v>74503127.330000013</v>
      </c>
      <c r="F7" s="233">
        <v>29910070.089999992</v>
      </c>
      <c r="G7" s="233">
        <v>35963181.870000005</v>
      </c>
      <c r="H7" s="234">
        <f t="shared" ref="H7:H53" si="0">F7+G7</f>
        <v>65873251.959999993</v>
      </c>
    </row>
    <row r="8" spans="1:8" s="3" customFormat="1" ht="15.75">
      <c r="A8" s="217">
        <v>1.1000000000000001</v>
      </c>
      <c r="B8" s="219" t="s">
        <v>276</v>
      </c>
      <c r="C8" s="233">
        <v>31626030.359999999</v>
      </c>
      <c r="D8" s="233">
        <v>20684337.280000001</v>
      </c>
      <c r="E8" s="249">
        <f t="shared" ref="E8:E53" si="1">C8+D8</f>
        <v>52310367.640000001</v>
      </c>
      <c r="F8" s="233">
        <v>18799667.289999999</v>
      </c>
      <c r="G8" s="233">
        <v>17887328.02</v>
      </c>
      <c r="H8" s="234">
        <f t="shared" si="0"/>
        <v>36686995.310000002</v>
      </c>
    </row>
    <row r="9" spans="1:8" s="3" customFormat="1" ht="15.75">
      <c r="A9" s="217">
        <v>1.2</v>
      </c>
      <c r="B9" s="219" t="s">
        <v>277</v>
      </c>
      <c r="C9" s="233">
        <v>0</v>
      </c>
      <c r="D9" s="233">
        <v>0</v>
      </c>
      <c r="E9" s="249">
        <f t="shared" si="1"/>
        <v>0</v>
      </c>
      <c r="F9" s="233">
        <v>2241900</v>
      </c>
      <c r="G9" s="233">
        <v>2156509.56</v>
      </c>
      <c r="H9" s="234">
        <f t="shared" si="0"/>
        <v>4398409.5600000005</v>
      </c>
    </row>
    <row r="10" spans="1:8" s="3" customFormat="1" ht="15.75">
      <c r="A10" s="217">
        <v>1.3</v>
      </c>
      <c r="B10" s="219" t="s">
        <v>278</v>
      </c>
      <c r="C10" s="233">
        <v>14797071.520000011</v>
      </c>
      <c r="D10" s="233">
        <v>7395688.1699999999</v>
      </c>
      <c r="E10" s="249">
        <f t="shared" si="1"/>
        <v>22192759.690000013</v>
      </c>
      <c r="F10" s="233">
        <v>8868502.7999999933</v>
      </c>
      <c r="G10" s="233">
        <v>15919344.290000005</v>
      </c>
      <c r="H10" s="234">
        <f t="shared" si="0"/>
        <v>24787847.089999996</v>
      </c>
    </row>
    <row r="11" spans="1:8" s="3" customFormat="1" ht="15.75">
      <c r="A11" s="217">
        <v>1.4</v>
      </c>
      <c r="B11" s="219" t="s">
        <v>279</v>
      </c>
      <c r="C11" s="233">
        <v>0</v>
      </c>
      <c r="D11" s="233">
        <v>0</v>
      </c>
      <c r="E11" s="249">
        <f t="shared" si="1"/>
        <v>0</v>
      </c>
      <c r="F11" s="233">
        <v>0</v>
      </c>
      <c r="G11" s="233">
        <v>0</v>
      </c>
      <c r="H11" s="234">
        <f t="shared" si="0"/>
        <v>0</v>
      </c>
    </row>
    <row r="12" spans="1:8" s="3" customFormat="1" ht="29.25" customHeight="1">
      <c r="A12" s="217">
        <v>2</v>
      </c>
      <c r="B12" s="218" t="s">
        <v>280</v>
      </c>
      <c r="C12" s="233">
        <v>0</v>
      </c>
      <c r="D12" s="233">
        <v>0</v>
      </c>
      <c r="E12" s="249">
        <f t="shared" si="1"/>
        <v>0</v>
      </c>
      <c r="F12" s="233">
        <v>0</v>
      </c>
      <c r="G12" s="233">
        <v>0</v>
      </c>
      <c r="H12" s="234">
        <f t="shared" si="0"/>
        <v>0</v>
      </c>
    </row>
    <row r="13" spans="1:8" s="3" customFormat="1" ht="25.5">
      <c r="A13" s="217">
        <v>3</v>
      </c>
      <c r="B13" s="218" t="s">
        <v>281</v>
      </c>
      <c r="C13" s="233">
        <v>130712000</v>
      </c>
      <c r="D13" s="233">
        <v>0</v>
      </c>
      <c r="E13" s="249">
        <f t="shared" si="1"/>
        <v>130712000</v>
      </c>
      <c r="F13" s="233">
        <v>94293000</v>
      </c>
      <c r="G13" s="233">
        <v>0</v>
      </c>
      <c r="H13" s="234">
        <f t="shared" si="0"/>
        <v>94293000</v>
      </c>
    </row>
    <row r="14" spans="1:8" s="3" customFormat="1" ht="15.75">
      <c r="A14" s="217">
        <v>3.1</v>
      </c>
      <c r="B14" s="219" t="s">
        <v>282</v>
      </c>
      <c r="C14" s="233">
        <v>130712000</v>
      </c>
      <c r="D14" s="233">
        <v>0</v>
      </c>
      <c r="E14" s="249">
        <f t="shared" si="1"/>
        <v>130712000</v>
      </c>
      <c r="F14" s="233">
        <v>94293000</v>
      </c>
      <c r="G14" s="233">
        <v>0</v>
      </c>
      <c r="H14" s="234">
        <f t="shared" si="0"/>
        <v>94293000</v>
      </c>
    </row>
    <row r="15" spans="1:8" s="3" customFormat="1" ht="15.75">
      <c r="A15" s="217">
        <v>3.2</v>
      </c>
      <c r="B15" s="219" t="s">
        <v>283</v>
      </c>
      <c r="C15" s="233">
        <v>0</v>
      </c>
      <c r="D15" s="233">
        <v>0</v>
      </c>
      <c r="E15" s="249">
        <f t="shared" si="1"/>
        <v>0</v>
      </c>
      <c r="F15" s="233">
        <v>0</v>
      </c>
      <c r="G15" s="233">
        <v>0</v>
      </c>
      <c r="H15" s="234">
        <f t="shared" si="0"/>
        <v>0</v>
      </c>
    </row>
    <row r="16" spans="1:8" s="3" customFormat="1" ht="15.75">
      <c r="A16" s="217">
        <v>4</v>
      </c>
      <c r="B16" s="218" t="s">
        <v>284</v>
      </c>
      <c r="C16" s="233">
        <v>243086808.32000014</v>
      </c>
      <c r="D16" s="233">
        <v>424365799.97000009</v>
      </c>
      <c r="E16" s="249">
        <f t="shared" si="1"/>
        <v>667452608.2900002</v>
      </c>
      <c r="F16" s="233">
        <v>178856729.13000104</v>
      </c>
      <c r="G16" s="233">
        <v>381519142.2700004</v>
      </c>
      <c r="H16" s="234">
        <f t="shared" si="0"/>
        <v>560375871.40000141</v>
      </c>
    </row>
    <row r="17" spans="1:8" s="3" customFormat="1" ht="15.75">
      <c r="A17" s="217">
        <v>4.0999999999999996</v>
      </c>
      <c r="B17" s="219" t="s">
        <v>285</v>
      </c>
      <c r="C17" s="233">
        <v>237655870.44800013</v>
      </c>
      <c r="D17" s="233">
        <v>424365799.97000009</v>
      </c>
      <c r="E17" s="249">
        <f t="shared" si="1"/>
        <v>662021670.41800022</v>
      </c>
      <c r="F17" s="233">
        <v>178856729.13000104</v>
      </c>
      <c r="G17" s="233">
        <v>381519142.2700004</v>
      </c>
      <c r="H17" s="234">
        <f t="shared" si="0"/>
        <v>560375871.40000141</v>
      </c>
    </row>
    <row r="18" spans="1:8" s="3" customFormat="1" ht="15.75">
      <c r="A18" s="217">
        <v>4.2</v>
      </c>
      <c r="B18" s="219" t="s">
        <v>286</v>
      </c>
      <c r="C18" s="233">
        <v>5430937.8719999995</v>
      </c>
      <c r="D18" s="233">
        <v>0</v>
      </c>
      <c r="E18" s="249">
        <f t="shared" si="1"/>
        <v>5430937.8719999995</v>
      </c>
      <c r="F18" s="233">
        <v>0</v>
      </c>
      <c r="G18" s="233">
        <v>0</v>
      </c>
      <c r="H18" s="234">
        <f t="shared" si="0"/>
        <v>0</v>
      </c>
    </row>
    <row r="19" spans="1:8" s="3" customFormat="1" ht="25.5">
      <c r="A19" s="217">
        <v>5</v>
      </c>
      <c r="B19" s="218" t="s">
        <v>287</v>
      </c>
      <c r="C19" s="233">
        <v>830910328.93000054</v>
      </c>
      <c r="D19" s="233">
        <v>1019891280.5800003</v>
      </c>
      <c r="E19" s="249">
        <f t="shared" si="1"/>
        <v>1850801609.5100007</v>
      </c>
      <c r="F19" s="233">
        <v>681773501.45999908</v>
      </c>
      <c r="G19" s="233">
        <v>940683150.06000042</v>
      </c>
      <c r="H19" s="234">
        <f t="shared" si="0"/>
        <v>1622456651.5199995</v>
      </c>
    </row>
    <row r="20" spans="1:8" s="3" customFormat="1" ht="15.75">
      <c r="A20" s="217">
        <v>5.0999999999999996</v>
      </c>
      <c r="B20" s="219" t="s">
        <v>288</v>
      </c>
      <c r="C20" s="233">
        <v>25708481.800000008</v>
      </c>
      <c r="D20" s="233">
        <v>35918284.509999998</v>
      </c>
      <c r="E20" s="249">
        <f t="shared" si="1"/>
        <v>61626766.310000002</v>
      </c>
      <c r="F20" s="233">
        <v>13738583.76</v>
      </c>
      <c r="G20" s="233">
        <v>34233332.820000008</v>
      </c>
      <c r="H20" s="234">
        <f t="shared" si="0"/>
        <v>47971916.580000006</v>
      </c>
    </row>
    <row r="21" spans="1:8" s="3" customFormat="1" ht="15.75">
      <c r="A21" s="217">
        <v>5.2</v>
      </c>
      <c r="B21" s="219" t="s">
        <v>289</v>
      </c>
      <c r="C21" s="233">
        <v>12117406.920000002</v>
      </c>
      <c r="D21" s="233">
        <v>5349022.9999999991</v>
      </c>
      <c r="E21" s="249">
        <f t="shared" si="1"/>
        <v>17466429.920000002</v>
      </c>
      <c r="F21" s="233">
        <v>74545564.650000006</v>
      </c>
      <c r="G21" s="233">
        <v>17026575.459999997</v>
      </c>
      <c r="H21" s="234">
        <f t="shared" si="0"/>
        <v>91572140.109999999</v>
      </c>
    </row>
    <row r="22" spans="1:8" s="3" customFormat="1" ht="15.75">
      <c r="A22" s="217">
        <v>5.3</v>
      </c>
      <c r="B22" s="219" t="s">
        <v>290</v>
      </c>
      <c r="C22" s="233">
        <v>698032857.01000059</v>
      </c>
      <c r="D22" s="233">
        <v>955990726.27000034</v>
      </c>
      <c r="E22" s="249">
        <f t="shared" si="1"/>
        <v>1654023583.2800009</v>
      </c>
      <c r="F22" s="233">
        <v>533116877.46999902</v>
      </c>
      <c r="G22" s="233">
        <v>863291025.0800004</v>
      </c>
      <c r="H22" s="234">
        <f t="shared" si="0"/>
        <v>1396407902.5499995</v>
      </c>
    </row>
    <row r="23" spans="1:8" s="3" customFormat="1" ht="15.75">
      <c r="A23" s="217" t="s">
        <v>291</v>
      </c>
      <c r="B23" s="220" t="s">
        <v>292</v>
      </c>
      <c r="C23" s="233">
        <v>409168755.19000012</v>
      </c>
      <c r="D23" s="233">
        <v>360396492.45000029</v>
      </c>
      <c r="E23" s="249">
        <f t="shared" si="1"/>
        <v>769565247.64000034</v>
      </c>
      <c r="F23" s="233">
        <v>317523187.07999915</v>
      </c>
      <c r="G23" s="233">
        <v>350612418.03000045</v>
      </c>
      <c r="H23" s="234">
        <f t="shared" si="0"/>
        <v>668135605.10999966</v>
      </c>
    </row>
    <row r="24" spans="1:8" s="3" customFormat="1" ht="15.75">
      <c r="A24" s="217" t="s">
        <v>293</v>
      </c>
      <c r="B24" s="220" t="s">
        <v>294</v>
      </c>
      <c r="C24" s="233">
        <v>170579199.46000043</v>
      </c>
      <c r="D24" s="233">
        <v>352795256</v>
      </c>
      <c r="E24" s="249">
        <f t="shared" si="1"/>
        <v>523374455.4600004</v>
      </c>
      <c r="F24" s="233">
        <v>123040014.8099999</v>
      </c>
      <c r="G24" s="233">
        <v>307051569.56999999</v>
      </c>
      <c r="H24" s="234">
        <f t="shared" si="0"/>
        <v>430091584.37999988</v>
      </c>
    </row>
    <row r="25" spans="1:8" s="3" customFormat="1" ht="15.75">
      <c r="A25" s="217" t="s">
        <v>295</v>
      </c>
      <c r="B25" s="221" t="s">
        <v>296</v>
      </c>
      <c r="C25" s="233">
        <v>16034403.090000002</v>
      </c>
      <c r="D25" s="233">
        <v>37741245.860000014</v>
      </c>
      <c r="E25" s="249">
        <f t="shared" si="1"/>
        <v>53775648.950000018</v>
      </c>
      <c r="F25" s="233">
        <v>12429519.599999998</v>
      </c>
      <c r="G25" s="233">
        <v>17859626.280000001</v>
      </c>
      <c r="H25" s="234">
        <f t="shared" si="0"/>
        <v>30289145.879999999</v>
      </c>
    </row>
    <row r="26" spans="1:8" s="3" customFormat="1" ht="15.75">
      <c r="A26" s="217" t="s">
        <v>297</v>
      </c>
      <c r="B26" s="220" t="s">
        <v>298</v>
      </c>
      <c r="C26" s="233">
        <v>81834849.219999924</v>
      </c>
      <c r="D26" s="233">
        <v>99798512.519999996</v>
      </c>
      <c r="E26" s="249">
        <f t="shared" si="1"/>
        <v>181633361.73999992</v>
      </c>
      <c r="F26" s="233">
        <v>54321344.709999993</v>
      </c>
      <c r="G26" s="233">
        <v>78064109.999999985</v>
      </c>
      <c r="H26" s="234">
        <f t="shared" si="0"/>
        <v>132385454.70999998</v>
      </c>
    </row>
    <row r="27" spans="1:8" s="3" customFormat="1" ht="15.75">
      <c r="A27" s="217" t="s">
        <v>299</v>
      </c>
      <c r="B27" s="220" t="s">
        <v>300</v>
      </c>
      <c r="C27" s="233">
        <v>20415650.050000023</v>
      </c>
      <c r="D27" s="233">
        <v>105259219.44000007</v>
      </c>
      <c r="E27" s="249">
        <f t="shared" si="1"/>
        <v>125674869.4900001</v>
      </c>
      <c r="F27" s="233">
        <v>25802811.270000003</v>
      </c>
      <c r="G27" s="233">
        <v>109703301.20000003</v>
      </c>
      <c r="H27" s="234">
        <f t="shared" si="0"/>
        <v>135506112.47000003</v>
      </c>
    </row>
    <row r="28" spans="1:8" s="3" customFormat="1" ht="15.75">
      <c r="A28" s="217">
        <v>5.4</v>
      </c>
      <c r="B28" s="219" t="s">
        <v>301</v>
      </c>
      <c r="C28" s="233">
        <v>20009772.599999998</v>
      </c>
      <c r="D28" s="233">
        <v>11572088.489999995</v>
      </c>
      <c r="E28" s="249">
        <f t="shared" si="1"/>
        <v>31581861.089999992</v>
      </c>
      <c r="F28" s="233">
        <v>14953293.49</v>
      </c>
      <c r="G28" s="233">
        <v>14776910.229999999</v>
      </c>
      <c r="H28" s="234">
        <f t="shared" si="0"/>
        <v>29730203.719999999</v>
      </c>
    </row>
    <row r="29" spans="1:8" s="3" customFormat="1" ht="15.75">
      <c r="A29" s="217">
        <v>5.5</v>
      </c>
      <c r="B29" s="219" t="s">
        <v>302</v>
      </c>
      <c r="C29" s="233">
        <v>0</v>
      </c>
      <c r="D29" s="233">
        <v>0</v>
      </c>
      <c r="E29" s="249">
        <f t="shared" si="1"/>
        <v>0</v>
      </c>
      <c r="F29" s="233">
        <v>0</v>
      </c>
      <c r="G29" s="233">
        <v>0</v>
      </c>
      <c r="H29" s="234">
        <f t="shared" si="0"/>
        <v>0</v>
      </c>
    </row>
    <row r="30" spans="1:8" s="3" customFormat="1" ht="15.75">
      <c r="A30" s="217">
        <v>5.6</v>
      </c>
      <c r="B30" s="219" t="s">
        <v>303</v>
      </c>
      <c r="C30" s="233">
        <v>0</v>
      </c>
      <c r="D30" s="233">
        <v>0</v>
      </c>
      <c r="E30" s="249">
        <f t="shared" si="1"/>
        <v>0</v>
      </c>
      <c r="F30" s="233">
        <v>0</v>
      </c>
      <c r="G30" s="233">
        <v>0</v>
      </c>
      <c r="H30" s="234">
        <f t="shared" si="0"/>
        <v>0</v>
      </c>
    </row>
    <row r="31" spans="1:8" s="3" customFormat="1" ht="15.75">
      <c r="A31" s="217">
        <v>5.7</v>
      </c>
      <c r="B31" s="219" t="s">
        <v>304</v>
      </c>
      <c r="C31" s="233">
        <v>75041810.59999992</v>
      </c>
      <c r="D31" s="233">
        <v>11061158.310000004</v>
      </c>
      <c r="E31" s="249">
        <f t="shared" si="1"/>
        <v>86102968.909999922</v>
      </c>
      <c r="F31" s="233">
        <v>45419182.090000011</v>
      </c>
      <c r="G31" s="233">
        <v>11355306.469999999</v>
      </c>
      <c r="H31" s="234">
        <f t="shared" si="0"/>
        <v>56774488.56000001</v>
      </c>
    </row>
    <row r="32" spans="1:8" s="3" customFormat="1" ht="15.75">
      <c r="A32" s="217">
        <v>6</v>
      </c>
      <c r="B32" s="218" t="s">
        <v>305</v>
      </c>
      <c r="C32" s="233">
        <v>13140160</v>
      </c>
      <c r="D32" s="233">
        <v>121332544.46000001</v>
      </c>
      <c r="E32" s="249">
        <f t="shared" si="1"/>
        <v>134472704.46000001</v>
      </c>
      <c r="F32" s="233">
        <v>13698269.199999999</v>
      </c>
      <c r="G32" s="233">
        <v>86054972.879999995</v>
      </c>
      <c r="H32" s="234">
        <f t="shared" si="0"/>
        <v>99753242.079999998</v>
      </c>
    </row>
    <row r="33" spans="1:8" s="3" customFormat="1" ht="25.5">
      <c r="A33" s="217">
        <v>6.1</v>
      </c>
      <c r="B33" s="219" t="s">
        <v>368</v>
      </c>
      <c r="C33" s="233">
        <v>13140160</v>
      </c>
      <c r="D33" s="233">
        <v>54293163.93</v>
      </c>
      <c r="E33" s="249">
        <f t="shared" si="1"/>
        <v>67433323.930000007</v>
      </c>
      <c r="F33" s="233">
        <v>13698269.199999999</v>
      </c>
      <c r="G33" s="233">
        <v>36201290.880000003</v>
      </c>
      <c r="H33" s="234">
        <f t="shared" si="0"/>
        <v>49899560.079999998</v>
      </c>
    </row>
    <row r="34" spans="1:8" s="3" customFormat="1" ht="25.5">
      <c r="A34" s="217">
        <v>6.2</v>
      </c>
      <c r="B34" s="219" t="s">
        <v>306</v>
      </c>
      <c r="C34" s="233">
        <v>0</v>
      </c>
      <c r="D34" s="233">
        <v>67039380.530000001</v>
      </c>
      <c r="E34" s="249">
        <f t="shared" si="1"/>
        <v>67039380.530000001</v>
      </c>
      <c r="F34" s="233">
        <v>0</v>
      </c>
      <c r="G34" s="233">
        <v>49853682</v>
      </c>
      <c r="H34" s="234">
        <f t="shared" si="0"/>
        <v>49853682</v>
      </c>
    </row>
    <row r="35" spans="1:8" s="3" customFormat="1" ht="25.5">
      <c r="A35" s="217">
        <v>6.3</v>
      </c>
      <c r="B35" s="219" t="s">
        <v>307</v>
      </c>
      <c r="C35" s="233">
        <v>0</v>
      </c>
      <c r="D35" s="233">
        <v>0</v>
      </c>
      <c r="E35" s="249">
        <f t="shared" si="1"/>
        <v>0</v>
      </c>
      <c r="F35" s="233">
        <v>0</v>
      </c>
      <c r="G35" s="233">
        <v>0</v>
      </c>
      <c r="H35" s="234">
        <f t="shared" si="0"/>
        <v>0</v>
      </c>
    </row>
    <row r="36" spans="1:8" s="3" customFormat="1" ht="15.75">
      <c r="A36" s="217">
        <v>6.4</v>
      </c>
      <c r="B36" s="219" t="s">
        <v>308</v>
      </c>
      <c r="C36" s="233">
        <v>0</v>
      </c>
      <c r="D36" s="233">
        <v>0</v>
      </c>
      <c r="E36" s="249">
        <f t="shared" si="1"/>
        <v>0</v>
      </c>
      <c r="F36" s="233">
        <v>0</v>
      </c>
      <c r="G36" s="233">
        <v>0</v>
      </c>
      <c r="H36" s="234">
        <f t="shared" si="0"/>
        <v>0</v>
      </c>
    </row>
    <row r="37" spans="1:8" s="3" customFormat="1" ht="15.75">
      <c r="A37" s="217">
        <v>6.5</v>
      </c>
      <c r="B37" s="219" t="s">
        <v>309</v>
      </c>
      <c r="C37" s="233">
        <v>0</v>
      </c>
      <c r="D37" s="233">
        <v>0</v>
      </c>
      <c r="E37" s="249">
        <f t="shared" si="1"/>
        <v>0</v>
      </c>
      <c r="F37" s="233">
        <v>0</v>
      </c>
      <c r="G37" s="233">
        <v>0</v>
      </c>
      <c r="H37" s="234">
        <f t="shared" si="0"/>
        <v>0</v>
      </c>
    </row>
    <row r="38" spans="1:8" s="3" customFormat="1" ht="25.5">
      <c r="A38" s="217">
        <v>6.6</v>
      </c>
      <c r="B38" s="219" t="s">
        <v>310</v>
      </c>
      <c r="C38" s="233">
        <v>0</v>
      </c>
      <c r="D38" s="233">
        <v>0</v>
      </c>
      <c r="E38" s="249">
        <f t="shared" si="1"/>
        <v>0</v>
      </c>
      <c r="F38" s="233">
        <v>0</v>
      </c>
      <c r="G38" s="233">
        <v>0</v>
      </c>
      <c r="H38" s="234">
        <f t="shared" si="0"/>
        <v>0</v>
      </c>
    </row>
    <row r="39" spans="1:8" s="3" customFormat="1" ht="25.5">
      <c r="A39" s="217">
        <v>6.7</v>
      </c>
      <c r="B39" s="219" t="s">
        <v>311</v>
      </c>
      <c r="C39" s="233">
        <v>0</v>
      </c>
      <c r="D39" s="233">
        <v>0</v>
      </c>
      <c r="E39" s="249">
        <f t="shared" si="1"/>
        <v>0</v>
      </c>
      <c r="F39" s="233">
        <v>0</v>
      </c>
      <c r="G39" s="233">
        <v>0</v>
      </c>
      <c r="H39" s="234">
        <f t="shared" si="0"/>
        <v>0</v>
      </c>
    </row>
    <row r="40" spans="1:8" s="3" customFormat="1" ht="15.75">
      <c r="A40" s="217">
        <v>7</v>
      </c>
      <c r="B40" s="218" t="s">
        <v>312</v>
      </c>
      <c r="C40" s="233">
        <v>0</v>
      </c>
      <c r="D40" s="233">
        <v>0</v>
      </c>
      <c r="E40" s="249">
        <f t="shared" si="1"/>
        <v>0</v>
      </c>
      <c r="F40" s="233">
        <v>0</v>
      </c>
      <c r="G40" s="233">
        <v>0</v>
      </c>
      <c r="H40" s="234">
        <f t="shared" si="0"/>
        <v>0</v>
      </c>
    </row>
    <row r="41" spans="1:8" s="3" customFormat="1" ht="25.5">
      <c r="A41" s="217">
        <v>7.1</v>
      </c>
      <c r="B41" s="219" t="s">
        <v>313</v>
      </c>
      <c r="C41" s="233">
        <v>286784.93999999994</v>
      </c>
      <c r="D41" s="233">
        <v>574117.15150000004</v>
      </c>
      <c r="E41" s="249">
        <f t="shared" si="1"/>
        <v>860902.09149999998</v>
      </c>
      <c r="F41" s="233">
        <v>1252867.6500000006</v>
      </c>
      <c r="G41" s="233">
        <v>14122.345300000001</v>
      </c>
      <c r="H41" s="234">
        <f t="shared" si="0"/>
        <v>1266989.9953000005</v>
      </c>
    </row>
    <row r="42" spans="1:8" s="3" customFormat="1" ht="25.5">
      <c r="A42" s="217">
        <v>7.2</v>
      </c>
      <c r="B42" s="219" t="s">
        <v>314</v>
      </c>
      <c r="C42" s="233">
        <v>656612.76000000024</v>
      </c>
      <c r="D42" s="233">
        <v>916961.6446</v>
      </c>
      <c r="E42" s="249">
        <f t="shared" si="1"/>
        <v>1573574.4046000002</v>
      </c>
      <c r="F42" s="233">
        <v>804742.64999999967</v>
      </c>
      <c r="G42" s="233">
        <v>869576.73060000013</v>
      </c>
      <c r="H42" s="234">
        <f t="shared" si="0"/>
        <v>1674319.3805999998</v>
      </c>
    </row>
    <row r="43" spans="1:8" s="3" customFormat="1" ht="25.5">
      <c r="A43" s="217">
        <v>7.3</v>
      </c>
      <c r="B43" s="219" t="s">
        <v>315</v>
      </c>
      <c r="C43" s="233">
        <v>5593699.0855000187</v>
      </c>
      <c r="D43" s="233">
        <v>17966659.055600006</v>
      </c>
      <c r="E43" s="249">
        <f t="shared" si="1"/>
        <v>23560358.141100027</v>
      </c>
      <c r="F43" s="233">
        <v>5824271.9300000109</v>
      </c>
      <c r="G43" s="233">
        <v>16875403.720100004</v>
      </c>
      <c r="H43" s="234">
        <f t="shared" si="0"/>
        <v>22699675.650100015</v>
      </c>
    </row>
    <row r="44" spans="1:8" s="3" customFormat="1" ht="25.5">
      <c r="A44" s="217">
        <v>7.4</v>
      </c>
      <c r="B44" s="219" t="s">
        <v>316</v>
      </c>
      <c r="C44" s="233">
        <v>9860210.9200000167</v>
      </c>
      <c r="D44" s="233">
        <v>51125298.037699997</v>
      </c>
      <c r="E44" s="249">
        <f t="shared" si="1"/>
        <v>60985508.957700014</v>
      </c>
      <c r="F44" s="233">
        <v>11974231.789999999</v>
      </c>
      <c r="G44" s="233">
        <v>54041423.397899941</v>
      </c>
      <c r="H44" s="234">
        <f t="shared" si="0"/>
        <v>66015655.18789994</v>
      </c>
    </row>
    <row r="45" spans="1:8" s="3" customFormat="1" ht="15.75">
      <c r="A45" s="217">
        <v>8</v>
      </c>
      <c r="B45" s="218" t="s">
        <v>317</v>
      </c>
      <c r="C45" s="233">
        <v>0</v>
      </c>
      <c r="D45" s="233">
        <v>0</v>
      </c>
      <c r="E45" s="249">
        <f t="shared" si="1"/>
        <v>0</v>
      </c>
      <c r="F45" s="233">
        <v>0</v>
      </c>
      <c r="G45" s="233">
        <v>0</v>
      </c>
      <c r="H45" s="234">
        <f t="shared" si="0"/>
        <v>0</v>
      </c>
    </row>
    <row r="46" spans="1:8" s="3" customFormat="1" ht="15.75">
      <c r="A46" s="217">
        <v>8.1</v>
      </c>
      <c r="B46" s="219" t="s">
        <v>318</v>
      </c>
      <c r="C46" s="233">
        <v>0</v>
      </c>
      <c r="D46" s="233">
        <v>0</v>
      </c>
      <c r="E46" s="249">
        <f t="shared" si="1"/>
        <v>0</v>
      </c>
      <c r="F46" s="233">
        <v>0</v>
      </c>
      <c r="G46" s="233">
        <v>0</v>
      </c>
      <c r="H46" s="234">
        <f t="shared" si="0"/>
        <v>0</v>
      </c>
    </row>
    <row r="47" spans="1:8" s="3" customFormat="1" ht="15.75">
      <c r="A47" s="217">
        <v>8.1999999999999993</v>
      </c>
      <c r="B47" s="219" t="s">
        <v>319</v>
      </c>
      <c r="C47" s="233">
        <v>0</v>
      </c>
      <c r="D47" s="233">
        <v>0</v>
      </c>
      <c r="E47" s="249">
        <f t="shared" si="1"/>
        <v>0</v>
      </c>
      <c r="F47" s="233">
        <v>0</v>
      </c>
      <c r="G47" s="233">
        <v>0</v>
      </c>
      <c r="H47" s="234">
        <f t="shared" si="0"/>
        <v>0</v>
      </c>
    </row>
    <row r="48" spans="1:8" s="3" customFormat="1" ht="15.75">
      <c r="A48" s="217">
        <v>8.3000000000000007</v>
      </c>
      <c r="B48" s="219" t="s">
        <v>320</v>
      </c>
      <c r="C48" s="233">
        <v>0</v>
      </c>
      <c r="D48" s="233">
        <v>0</v>
      </c>
      <c r="E48" s="249">
        <f t="shared" si="1"/>
        <v>0</v>
      </c>
      <c r="F48" s="233">
        <v>0</v>
      </c>
      <c r="G48" s="233">
        <v>0</v>
      </c>
      <c r="H48" s="234">
        <f t="shared" si="0"/>
        <v>0</v>
      </c>
    </row>
    <row r="49" spans="1:8" s="3" customFormat="1" ht="15.75">
      <c r="A49" s="217">
        <v>8.4</v>
      </c>
      <c r="B49" s="219" t="s">
        <v>321</v>
      </c>
      <c r="C49" s="233">
        <v>0</v>
      </c>
      <c r="D49" s="233">
        <v>0</v>
      </c>
      <c r="E49" s="249">
        <f t="shared" si="1"/>
        <v>0</v>
      </c>
      <c r="F49" s="233">
        <v>0</v>
      </c>
      <c r="G49" s="233">
        <v>0</v>
      </c>
      <c r="H49" s="234">
        <f t="shared" si="0"/>
        <v>0</v>
      </c>
    </row>
    <row r="50" spans="1:8" s="3" customFormat="1" ht="15.75">
      <c r="A50" s="217">
        <v>8.5</v>
      </c>
      <c r="B50" s="219" t="s">
        <v>322</v>
      </c>
      <c r="C50" s="233">
        <v>0</v>
      </c>
      <c r="D50" s="233">
        <v>0</v>
      </c>
      <c r="E50" s="249">
        <f t="shared" si="1"/>
        <v>0</v>
      </c>
      <c r="F50" s="233">
        <v>0</v>
      </c>
      <c r="G50" s="233">
        <v>0</v>
      </c>
      <c r="H50" s="234">
        <f t="shared" si="0"/>
        <v>0</v>
      </c>
    </row>
    <row r="51" spans="1:8" s="3" customFormat="1" ht="15.75">
      <c r="A51" s="217">
        <v>8.6</v>
      </c>
      <c r="B51" s="219" t="s">
        <v>323</v>
      </c>
      <c r="C51" s="233">
        <v>0</v>
      </c>
      <c r="D51" s="233">
        <v>0</v>
      </c>
      <c r="E51" s="249">
        <f t="shared" si="1"/>
        <v>0</v>
      </c>
      <c r="F51" s="233">
        <v>0</v>
      </c>
      <c r="G51" s="233">
        <v>0</v>
      </c>
      <c r="H51" s="234">
        <f t="shared" si="0"/>
        <v>0</v>
      </c>
    </row>
    <row r="52" spans="1:8" s="3" customFormat="1" ht="15.75">
      <c r="A52" s="217">
        <v>8.6999999999999993</v>
      </c>
      <c r="B52" s="219" t="s">
        <v>324</v>
      </c>
      <c r="C52" s="233">
        <v>0</v>
      </c>
      <c r="D52" s="233">
        <v>0</v>
      </c>
      <c r="E52" s="249">
        <f t="shared" si="1"/>
        <v>0</v>
      </c>
      <c r="F52" s="233">
        <v>0</v>
      </c>
      <c r="G52" s="233">
        <v>0</v>
      </c>
      <c r="H52" s="234">
        <f t="shared" si="0"/>
        <v>0</v>
      </c>
    </row>
    <row r="53" spans="1:8" s="3" customFormat="1" ht="26.25" thickBot="1">
      <c r="A53" s="222">
        <v>9</v>
      </c>
      <c r="B53" s="223" t="s">
        <v>325</v>
      </c>
      <c r="C53" s="250">
        <v>0</v>
      </c>
      <c r="D53" s="250">
        <v>0</v>
      </c>
      <c r="E53" s="251">
        <f t="shared" si="1"/>
        <v>0</v>
      </c>
      <c r="F53" s="250">
        <v>0</v>
      </c>
      <c r="G53" s="250">
        <v>0</v>
      </c>
      <c r="H53" s="238">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G13"/>
    </sheetView>
  </sheetViews>
  <sheetFormatPr defaultColWidth="9.140625" defaultRowHeight="12.75"/>
  <cols>
    <col min="1" max="1" width="9.5703125" style="2" bestFit="1" customWidth="1"/>
    <col min="2" max="2" width="93.5703125" style="2" customWidth="1"/>
    <col min="3" max="4" width="12.7109375" style="2" customWidth="1"/>
    <col min="5" max="6" width="10.85546875" style="13" bestFit="1" customWidth="1"/>
    <col min="7" max="11" width="9.7109375" style="13" customWidth="1"/>
    <col min="12" max="16384" width="9.140625" style="13"/>
  </cols>
  <sheetData>
    <row r="1" spans="1:8" ht="15">
      <c r="A1" s="18" t="s">
        <v>188</v>
      </c>
      <c r="B1" s="17" t="str">
        <f>Info!C2</f>
        <v>ს.ს. "ტერაბანკი"</v>
      </c>
      <c r="C1" s="17"/>
      <c r="D1" s="307"/>
    </row>
    <row r="2" spans="1:8" ht="15">
      <c r="A2" s="18" t="s">
        <v>189</v>
      </c>
      <c r="B2" s="421">
        <f>'1. key ratios'!B2</f>
        <v>44377</v>
      </c>
      <c r="C2" s="30"/>
      <c r="D2" s="19"/>
      <c r="E2" s="12"/>
      <c r="F2" s="12"/>
      <c r="G2" s="12"/>
      <c r="H2" s="12"/>
    </row>
    <row r="3" spans="1:8" ht="15">
      <c r="A3" s="18"/>
      <c r="B3" s="17"/>
      <c r="C3" s="30"/>
      <c r="D3" s="19"/>
      <c r="E3" s="12"/>
      <c r="F3" s="12"/>
      <c r="G3" s="12"/>
      <c r="H3" s="12"/>
    </row>
    <row r="4" spans="1:8" ht="15" customHeight="1" thickBot="1">
      <c r="A4" s="211" t="s">
        <v>332</v>
      </c>
      <c r="B4" s="212" t="s">
        <v>187</v>
      </c>
      <c r="C4" s="213" t="s">
        <v>93</v>
      </c>
    </row>
    <row r="5" spans="1:8" ht="15" customHeight="1">
      <c r="A5" s="209" t="s">
        <v>26</v>
      </c>
      <c r="B5" s="210"/>
      <c r="C5" s="422" t="str">
        <f>INT((MONTH($B$2))/3)&amp;"Q"&amp;"-"&amp;YEAR($B$2)</f>
        <v>2Q-2021</v>
      </c>
      <c r="D5" s="422" t="str">
        <f>IF(INT(MONTH($B$2))=3, "4"&amp;"Q"&amp;"-"&amp;YEAR($B$2)-1, IF(INT(MONTH($B$2))=6, "1"&amp;"Q"&amp;"-"&amp;YEAR($B$2), IF(INT(MONTH($B$2))=9, "2"&amp;"Q"&amp;"-"&amp;YEAR($B$2),IF(INT(MONTH($B$2))=12, "3"&amp;"Q"&amp;"-"&amp;YEAR($B$2), 0))))</f>
        <v>1Q-2021</v>
      </c>
      <c r="E5" s="422" t="str">
        <f>IF(INT(MONTH($B$2))=3, "3"&amp;"Q"&amp;"-"&amp;YEAR($B$2)-1, IF(INT(MONTH($B$2))=6, "4"&amp;"Q"&amp;"-"&amp;YEAR($B$2)-1, IF(INT(MONTH($B$2))=9, "1"&amp;"Q"&amp;"-"&amp;YEAR($B$2),IF(INT(MONTH($B$2))=12, "2"&amp;"Q"&amp;"-"&amp;YEAR($B$2), 0))))</f>
        <v>4Q-2020</v>
      </c>
      <c r="F5" s="422" t="str">
        <f>IF(INT(MONTH($B$2))=3, "2"&amp;"Q"&amp;"-"&amp;YEAR($B$2)-1, IF(INT(MONTH($B$2))=6, "3"&amp;"Q"&amp;"-"&amp;YEAR($B$2)-1, IF(INT(MONTH($B$2))=9, "4"&amp;"Q"&amp;"-"&amp;YEAR($B$2)-1,IF(INT(MONTH($B$2))=12, "1"&amp;"Q"&amp;"-"&amp;YEAR($B$2), 0))))</f>
        <v>3Q-2020</v>
      </c>
      <c r="G5" s="422" t="str">
        <f>IF(INT(MONTH($B$2))=3, "1"&amp;"Q"&amp;"-"&amp;YEAR($B$2)-1, IF(INT(MONTH($B$2))=6, "2"&amp;"Q"&amp;"-"&amp;YEAR($B$2)-1, IF(INT(MONTH($B$2))=9, "3"&amp;"Q"&amp;"-"&amp;YEAR($B$2)-1,IF(INT(MONTH($B$2))=12, "4"&amp;"Q"&amp;"-"&amp;YEAR($B$2)-1, 0))))</f>
        <v>2Q-2020</v>
      </c>
    </row>
    <row r="6" spans="1:8" ht="15" customHeight="1">
      <c r="A6" s="349">
        <v>1</v>
      </c>
      <c r="B6" s="405" t="s">
        <v>192</v>
      </c>
      <c r="C6" s="350">
        <f>C7+C9+C10</f>
        <v>979824384.03484762</v>
      </c>
      <c r="D6" s="408">
        <f>D7+D9+D10</f>
        <v>1008764060.0202504</v>
      </c>
      <c r="E6" s="351">
        <f t="shared" ref="E6:G6" si="0">E7+E9+E10</f>
        <v>936027383.49900103</v>
      </c>
      <c r="F6" s="350">
        <f t="shared" si="0"/>
        <v>935764698.66924989</v>
      </c>
      <c r="G6" s="409">
        <f t="shared" si="0"/>
        <v>827944616.15124869</v>
      </c>
    </row>
    <row r="7" spans="1:8" ht="15" customHeight="1">
      <c r="A7" s="349">
        <v>1.1000000000000001</v>
      </c>
      <c r="B7" s="352" t="s">
        <v>478</v>
      </c>
      <c r="C7" s="353">
        <v>954145441.56349766</v>
      </c>
      <c r="D7" s="410">
        <v>984392231.6705004</v>
      </c>
      <c r="E7" s="353">
        <v>911613986.37750101</v>
      </c>
      <c r="F7" s="353">
        <v>913548060.09149981</v>
      </c>
      <c r="G7" s="411">
        <v>807035272.63699865</v>
      </c>
    </row>
    <row r="8" spans="1:8" ht="25.5">
      <c r="A8" s="349" t="s">
        <v>252</v>
      </c>
      <c r="B8" s="354" t="s">
        <v>326</v>
      </c>
      <c r="C8" s="353">
        <v>0</v>
      </c>
      <c r="D8" s="410">
        <v>0</v>
      </c>
      <c r="E8" s="353">
        <v>0</v>
      </c>
      <c r="F8" s="353">
        <v>0</v>
      </c>
      <c r="G8" s="411">
        <v>0</v>
      </c>
    </row>
    <row r="9" spans="1:8" ht="15" customHeight="1">
      <c r="A9" s="349">
        <v>1.2</v>
      </c>
      <c r="B9" s="352" t="s">
        <v>22</v>
      </c>
      <c r="C9" s="353">
        <v>24338154.86074999</v>
      </c>
      <c r="D9" s="410">
        <v>22815019.853749998</v>
      </c>
      <c r="E9" s="353">
        <v>22852479.733499989</v>
      </c>
      <c r="F9" s="353">
        <v>20669861.617749996</v>
      </c>
      <c r="G9" s="411">
        <v>19912269.87425001</v>
      </c>
    </row>
    <row r="10" spans="1:8" ht="15" customHeight="1">
      <c r="A10" s="349">
        <v>1.3</v>
      </c>
      <c r="B10" s="406" t="s">
        <v>77</v>
      </c>
      <c r="C10" s="355">
        <v>1340787.6106</v>
      </c>
      <c r="D10" s="410">
        <v>1556808.496</v>
      </c>
      <c r="E10" s="355">
        <v>1560917.388</v>
      </c>
      <c r="F10" s="353">
        <v>1546776.96</v>
      </c>
      <c r="G10" s="412">
        <v>997073.64</v>
      </c>
    </row>
    <row r="11" spans="1:8" ht="15" customHeight="1">
      <c r="A11" s="349">
        <v>2</v>
      </c>
      <c r="B11" s="405" t="s">
        <v>193</v>
      </c>
      <c r="C11" s="353">
        <v>26502380.349999961</v>
      </c>
      <c r="D11" s="410">
        <v>25453609.059999939</v>
      </c>
      <c r="E11" s="353">
        <v>24635876.009999685</v>
      </c>
      <c r="F11" s="353">
        <v>24977298.170000218</v>
      </c>
      <c r="G11" s="411">
        <v>23259196.719999805</v>
      </c>
    </row>
    <row r="12" spans="1:8" ht="15" customHeight="1">
      <c r="A12" s="366">
        <v>3</v>
      </c>
      <c r="B12" s="407" t="s">
        <v>191</v>
      </c>
      <c r="C12" s="355">
        <v>99313156.550000012</v>
      </c>
      <c r="D12" s="410">
        <v>99313156.550000012</v>
      </c>
      <c r="E12" s="355">
        <v>99313156.550000012</v>
      </c>
      <c r="F12" s="353">
        <v>93832535.96875</v>
      </c>
      <c r="G12" s="412">
        <v>93832535.96875</v>
      </c>
    </row>
    <row r="13" spans="1:8" ht="15" customHeight="1" thickBot="1">
      <c r="A13" s="133">
        <v>4</v>
      </c>
      <c r="B13" s="415" t="s">
        <v>253</v>
      </c>
      <c r="C13" s="252">
        <f>C6+C11+C12</f>
        <v>1105639920.9348476</v>
      </c>
      <c r="D13" s="413">
        <f>D6+D11+D12</f>
        <v>1133530825.6302505</v>
      </c>
      <c r="E13" s="253">
        <f t="shared" ref="E13:G13" si="1">E6+E11+E12</f>
        <v>1059976416.0590007</v>
      </c>
      <c r="F13" s="252">
        <f t="shared" si="1"/>
        <v>1054574532.8080001</v>
      </c>
      <c r="G13" s="414">
        <f t="shared" si="1"/>
        <v>945036348.83999848</v>
      </c>
    </row>
    <row r="14" spans="1:8">
      <c r="B14" s="24"/>
    </row>
    <row r="15" spans="1:8" ht="25.5">
      <c r="B15" s="106" t="s">
        <v>479</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showGridLines="0" zoomScaleNormal="100" workbookViewId="0">
      <pane xSplit="1" ySplit="4" topLeftCell="B5" activePane="bottomRight" state="frozen"/>
      <selection activeCell="C50" sqref="C50"/>
      <selection pane="topRight" activeCell="C50" sqref="C50"/>
      <selection pane="bottomLeft" activeCell="C50" sqref="C50"/>
      <selection pane="bottomRight"/>
    </sheetView>
  </sheetViews>
  <sheetFormatPr defaultRowHeight="15"/>
  <cols>
    <col min="1" max="1" width="9.5703125" style="2" bestFit="1" customWidth="1"/>
    <col min="2" max="2" width="58.85546875" style="2" customWidth="1"/>
    <col min="3" max="3" width="34.28515625" style="2" customWidth="1"/>
  </cols>
  <sheetData>
    <row r="1" spans="1:3">
      <c r="A1" s="2" t="s">
        <v>188</v>
      </c>
      <c r="B1" s="307" t="str">
        <f>Info!C2</f>
        <v>ს.ს. "ტერაბანკი"</v>
      </c>
    </row>
    <row r="2" spans="1:3">
      <c r="A2" s="2" t="s">
        <v>189</v>
      </c>
      <c r="B2" s="435">
        <f>'1. key ratios'!B2</f>
        <v>44377</v>
      </c>
    </row>
    <row r="4" spans="1:3" ht="25.5" customHeight="1" thickBot="1">
      <c r="A4" s="224" t="s">
        <v>333</v>
      </c>
      <c r="B4" s="62" t="s">
        <v>149</v>
      </c>
      <c r="C4" s="14"/>
    </row>
    <row r="5" spans="1:3" ht="15.75">
      <c r="A5" s="11"/>
      <c r="B5" s="400" t="s">
        <v>150</v>
      </c>
      <c r="C5" s="419" t="s">
        <v>493</v>
      </c>
    </row>
    <row r="6" spans="1:3">
      <c r="A6" s="15">
        <v>1</v>
      </c>
      <c r="B6" s="63" t="s">
        <v>718</v>
      </c>
      <c r="C6" s="416" t="s">
        <v>722</v>
      </c>
    </row>
    <row r="7" spans="1:3">
      <c r="A7" s="15">
        <v>2</v>
      </c>
      <c r="B7" s="63" t="s">
        <v>723</v>
      </c>
      <c r="C7" s="416" t="s">
        <v>724</v>
      </c>
    </row>
    <row r="8" spans="1:3">
      <c r="A8" s="15">
        <v>3</v>
      </c>
      <c r="B8" s="63" t="s">
        <v>725</v>
      </c>
      <c r="C8" s="416" t="s">
        <v>724</v>
      </c>
    </row>
    <row r="9" spans="1:3">
      <c r="A9" s="15">
        <v>4</v>
      </c>
      <c r="B9" s="63" t="s">
        <v>726</v>
      </c>
      <c r="C9" s="416" t="s">
        <v>727</v>
      </c>
    </row>
    <row r="10" spans="1:3">
      <c r="A10" s="15">
        <v>5</v>
      </c>
      <c r="B10" s="63" t="s">
        <v>728</v>
      </c>
      <c r="C10" s="416" t="s">
        <v>727</v>
      </c>
    </row>
    <row r="11" spans="1:3">
      <c r="A11" s="15">
        <v>6</v>
      </c>
      <c r="B11" s="63" t="s">
        <v>729</v>
      </c>
      <c r="C11" s="416" t="s">
        <v>727</v>
      </c>
    </row>
    <row r="12" spans="1:3">
      <c r="A12" s="15"/>
      <c r="B12" s="63"/>
      <c r="C12" s="416"/>
    </row>
    <row r="13" spans="1:3">
      <c r="A13" s="15"/>
      <c r="B13" s="683"/>
      <c r="C13" s="684"/>
    </row>
    <row r="14" spans="1:3" ht="60">
      <c r="A14" s="15"/>
      <c r="B14" s="401" t="s">
        <v>151</v>
      </c>
      <c r="C14" s="420" t="s">
        <v>494</v>
      </c>
    </row>
    <row r="15" spans="1:3" ht="15.75">
      <c r="A15" s="15">
        <v>1</v>
      </c>
      <c r="B15" s="28" t="s">
        <v>730</v>
      </c>
      <c r="C15" s="418" t="s">
        <v>731</v>
      </c>
    </row>
    <row r="16" spans="1:3" ht="15.75">
      <c r="A16" s="15">
        <v>2</v>
      </c>
      <c r="B16" s="28" t="s">
        <v>732</v>
      </c>
      <c r="C16" s="418" t="s">
        <v>733</v>
      </c>
    </row>
    <row r="17" spans="1:3" ht="15.75">
      <c r="A17" s="15">
        <v>3</v>
      </c>
      <c r="B17" s="28" t="s">
        <v>734</v>
      </c>
      <c r="C17" s="418" t="s">
        <v>735</v>
      </c>
    </row>
    <row r="18" spans="1:3" ht="15.75">
      <c r="A18" s="15">
        <v>4</v>
      </c>
      <c r="B18" s="28" t="s">
        <v>736</v>
      </c>
      <c r="C18" s="418" t="s">
        <v>737</v>
      </c>
    </row>
    <row r="19" spans="1:3" ht="15.75">
      <c r="A19" s="15">
        <v>5</v>
      </c>
      <c r="B19" s="28" t="s">
        <v>738</v>
      </c>
      <c r="C19" s="418" t="s">
        <v>739</v>
      </c>
    </row>
    <row r="20" spans="1:3" ht="15.75" customHeight="1">
      <c r="A20" s="15"/>
      <c r="B20" s="28"/>
      <c r="C20" s="29"/>
    </row>
    <row r="21" spans="1:3" ht="30" customHeight="1">
      <c r="A21" s="15"/>
      <c r="B21" s="685" t="s">
        <v>152</v>
      </c>
      <c r="C21" s="686"/>
    </row>
    <row r="22" spans="1:3" ht="15.75">
      <c r="A22" s="15">
        <v>1</v>
      </c>
      <c r="B22" s="63" t="s">
        <v>718</v>
      </c>
      <c r="C22" s="590">
        <v>0.65</v>
      </c>
    </row>
    <row r="23" spans="1:3" ht="15.75">
      <c r="A23" s="588">
        <v>2</v>
      </c>
      <c r="B23" s="589" t="s">
        <v>740</v>
      </c>
      <c r="C23" s="590">
        <v>0.15</v>
      </c>
    </row>
    <row r="24" spans="1:3" ht="15.75">
      <c r="A24" s="588">
        <v>3</v>
      </c>
      <c r="B24" s="589" t="s">
        <v>741</v>
      </c>
      <c r="C24" s="590">
        <v>0.15</v>
      </c>
    </row>
    <row r="25" spans="1:3" ht="15.75">
      <c r="A25" s="588">
        <v>4</v>
      </c>
      <c r="B25" s="589" t="s">
        <v>742</v>
      </c>
      <c r="C25" s="590">
        <v>0.05</v>
      </c>
    </row>
    <row r="26" spans="1:3">
      <c r="A26" s="588"/>
      <c r="B26" s="589"/>
      <c r="C26" s="64"/>
    </row>
    <row r="27" spans="1:3" ht="15.75" customHeight="1">
      <c r="A27" s="15"/>
      <c r="B27" s="63"/>
      <c r="C27" s="64"/>
    </row>
    <row r="28" spans="1:3" ht="29.25" customHeight="1">
      <c r="A28" s="15"/>
      <c r="B28" s="685" t="s">
        <v>273</v>
      </c>
      <c r="C28" s="686"/>
    </row>
    <row r="29" spans="1:3" ht="15.75">
      <c r="A29" s="15">
        <v>1</v>
      </c>
      <c r="B29" s="63" t="s">
        <v>718</v>
      </c>
      <c r="C29" s="590">
        <v>0.65</v>
      </c>
    </row>
    <row r="30" spans="1:3" ht="15.75">
      <c r="A30" s="591">
        <v>2</v>
      </c>
      <c r="B30" s="592" t="s">
        <v>740</v>
      </c>
      <c r="C30" s="594">
        <v>0.15</v>
      </c>
    </row>
    <row r="31" spans="1:3" ht="15.75">
      <c r="A31" s="591">
        <v>3</v>
      </c>
      <c r="B31" s="592" t="s">
        <v>741</v>
      </c>
      <c r="C31" s="594">
        <v>0.15</v>
      </c>
    </row>
    <row r="32" spans="1:3" ht="15.75">
      <c r="A32" s="591">
        <v>4</v>
      </c>
      <c r="B32" s="592" t="s">
        <v>742</v>
      </c>
      <c r="C32" s="594">
        <v>0.05</v>
      </c>
    </row>
    <row r="33" spans="1:3">
      <c r="A33" s="591"/>
      <c r="B33" s="592"/>
      <c r="C33" s="593"/>
    </row>
    <row r="34" spans="1:3">
      <c r="A34" s="591"/>
      <c r="B34" s="592"/>
      <c r="C34" s="593"/>
    </row>
    <row r="35" spans="1:3" ht="16.5" thickBot="1">
      <c r="A35" s="16"/>
      <c r="B35" s="65"/>
      <c r="C35" s="417"/>
    </row>
  </sheetData>
  <mergeCells count="3">
    <mergeCell ref="B13:C13"/>
    <mergeCell ref="B28:C28"/>
    <mergeCell ref="B21:C21"/>
  </mergeCells>
  <dataValidations count="1">
    <dataValidation type="list" allowBlank="1" showInputMessage="1" showErrorMessage="1" sqref="C6:C12">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E20" sqref="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188</v>
      </c>
      <c r="B1" s="17" t="str">
        <f>Info!C2</f>
        <v>ს.ს. "ტერაბანკი"</v>
      </c>
    </row>
    <row r="2" spans="1:7" s="22" customFormat="1" ht="15.75" customHeight="1">
      <c r="A2" s="22" t="s">
        <v>189</v>
      </c>
      <c r="B2" s="435">
        <f>'1. key ratios'!B2</f>
        <v>44377</v>
      </c>
    </row>
    <row r="3" spans="1:7" s="22" customFormat="1" ht="15.75" customHeight="1"/>
    <row r="4" spans="1:7" s="22" customFormat="1" ht="15.75" customHeight="1" thickBot="1">
      <c r="A4" s="225" t="s">
        <v>334</v>
      </c>
      <c r="B4" s="226" t="s">
        <v>263</v>
      </c>
      <c r="C4" s="188"/>
      <c r="D4" s="188"/>
      <c r="E4" s="189" t="s">
        <v>93</v>
      </c>
    </row>
    <row r="5" spans="1:7" s="121" customFormat="1" ht="17.45" customHeight="1">
      <c r="A5" s="318"/>
      <c r="B5" s="319"/>
      <c r="C5" s="187" t="s">
        <v>0</v>
      </c>
      <c r="D5" s="187" t="s">
        <v>1</v>
      </c>
      <c r="E5" s="320" t="s">
        <v>2</v>
      </c>
    </row>
    <row r="6" spans="1:7" s="157" customFormat="1" ht="14.45" customHeight="1">
      <c r="A6" s="321"/>
      <c r="B6" s="687" t="s">
        <v>231</v>
      </c>
      <c r="C6" s="687" t="s">
        <v>230</v>
      </c>
      <c r="D6" s="688" t="s">
        <v>229</v>
      </c>
      <c r="E6" s="689"/>
      <c r="G6"/>
    </row>
    <row r="7" spans="1:7" s="157" customFormat="1" ht="99.6" customHeight="1">
      <c r="A7" s="321"/>
      <c r="B7" s="687"/>
      <c r="C7" s="687"/>
      <c r="D7" s="316" t="s">
        <v>228</v>
      </c>
      <c r="E7" s="317" t="s">
        <v>396</v>
      </c>
      <c r="G7"/>
    </row>
    <row r="8" spans="1:7">
      <c r="A8" s="322">
        <v>1</v>
      </c>
      <c r="B8" s="323" t="s">
        <v>154</v>
      </c>
      <c r="C8" s="324">
        <v>43366972.600000016</v>
      </c>
      <c r="D8" s="324">
        <v>0</v>
      </c>
      <c r="E8" s="325">
        <v>43366972.600000016</v>
      </c>
    </row>
    <row r="9" spans="1:7">
      <c r="A9" s="322">
        <v>2</v>
      </c>
      <c r="B9" s="323" t="s">
        <v>155</v>
      </c>
      <c r="C9" s="324">
        <v>172709662.09</v>
      </c>
      <c r="D9" s="324">
        <v>0</v>
      </c>
      <c r="E9" s="325">
        <v>172709662.09</v>
      </c>
    </row>
    <row r="10" spans="1:7">
      <c r="A10" s="322">
        <v>3</v>
      </c>
      <c r="B10" s="323" t="s">
        <v>227</v>
      </c>
      <c r="C10" s="324">
        <v>23184269.640000001</v>
      </c>
      <c r="D10" s="324">
        <v>0</v>
      </c>
      <c r="E10" s="325">
        <v>23184269.640000001</v>
      </c>
    </row>
    <row r="11" spans="1:7" ht="25.5">
      <c r="A11" s="322">
        <v>4</v>
      </c>
      <c r="B11" s="323" t="s">
        <v>185</v>
      </c>
      <c r="C11" s="324">
        <v>0</v>
      </c>
      <c r="D11" s="324">
        <v>0</v>
      </c>
      <c r="E11" s="325">
        <v>0</v>
      </c>
    </row>
    <row r="12" spans="1:7">
      <c r="A12" s="322">
        <v>5</v>
      </c>
      <c r="B12" s="323" t="s">
        <v>157</v>
      </c>
      <c r="C12" s="324">
        <v>122129070.13</v>
      </c>
      <c r="D12" s="324">
        <v>0</v>
      </c>
      <c r="E12" s="325">
        <v>122129070.13</v>
      </c>
    </row>
    <row r="13" spans="1:7">
      <c r="A13" s="322">
        <v>6.1</v>
      </c>
      <c r="B13" s="323" t="s">
        <v>158</v>
      </c>
      <c r="C13" s="326">
        <v>949967386.11999881</v>
      </c>
      <c r="D13" s="324">
        <v>0</v>
      </c>
      <c r="E13" s="325">
        <v>949967386.11999881</v>
      </c>
    </row>
    <row r="14" spans="1:7">
      <c r="A14" s="322">
        <v>6.2</v>
      </c>
      <c r="B14" s="327" t="s">
        <v>159</v>
      </c>
      <c r="C14" s="326">
        <v>53338051.870000102</v>
      </c>
      <c r="D14" s="324">
        <v>0</v>
      </c>
      <c r="E14" s="325">
        <v>53338051.870000102</v>
      </c>
    </row>
    <row r="15" spans="1:7">
      <c r="A15" s="322">
        <v>6</v>
      </c>
      <c r="B15" s="323" t="s">
        <v>226</v>
      </c>
      <c r="C15" s="324">
        <v>896629334.24999869</v>
      </c>
      <c r="D15" s="324">
        <v>0</v>
      </c>
      <c r="E15" s="325">
        <v>896629334.24999869</v>
      </c>
    </row>
    <row r="16" spans="1:7" ht="25.5">
      <c r="A16" s="322">
        <v>7</v>
      </c>
      <c r="B16" s="323" t="s">
        <v>161</v>
      </c>
      <c r="C16" s="324">
        <v>13697081.599999959</v>
      </c>
      <c r="D16" s="324">
        <v>0</v>
      </c>
      <c r="E16" s="325">
        <v>13697081.599999959</v>
      </c>
    </row>
    <row r="17" spans="1:7">
      <c r="A17" s="322">
        <v>8</v>
      </c>
      <c r="B17" s="323" t="s">
        <v>162</v>
      </c>
      <c r="C17" s="324">
        <v>3070297.77000002</v>
      </c>
      <c r="D17" s="324">
        <v>0</v>
      </c>
      <c r="E17" s="325">
        <v>3070297.77000002</v>
      </c>
      <c r="F17" s="6"/>
      <c r="G17" s="6"/>
    </row>
    <row r="18" spans="1:7">
      <c r="A18" s="322">
        <v>9</v>
      </c>
      <c r="B18" s="323" t="s">
        <v>163</v>
      </c>
      <c r="C18" s="324">
        <v>0</v>
      </c>
      <c r="D18" s="324">
        <v>0</v>
      </c>
      <c r="E18" s="325">
        <v>0</v>
      </c>
      <c r="G18" s="6"/>
    </row>
    <row r="19" spans="1:7" ht="25.5">
      <c r="A19" s="322">
        <v>10</v>
      </c>
      <c r="B19" s="323" t="s">
        <v>164</v>
      </c>
      <c r="C19" s="324">
        <v>46329030.339999989</v>
      </c>
      <c r="D19" s="324">
        <v>22987679</v>
      </c>
      <c r="E19" s="325">
        <v>23341351.339999989</v>
      </c>
      <c r="G19" s="6"/>
    </row>
    <row r="20" spans="1:7">
      <c r="A20" s="322">
        <v>11</v>
      </c>
      <c r="B20" s="323" t="s">
        <v>165</v>
      </c>
      <c r="C20" s="324">
        <v>12974068.432999998</v>
      </c>
      <c r="D20" s="324">
        <v>0</v>
      </c>
      <c r="E20" s="325">
        <v>12974068.432999998</v>
      </c>
    </row>
    <row r="21" spans="1:7" ht="51.75" thickBot="1">
      <c r="A21" s="328"/>
      <c r="B21" s="329" t="s">
        <v>369</v>
      </c>
      <c r="C21" s="283">
        <f>SUM(C8:C12, C15:C20)</f>
        <v>1334089786.8529985</v>
      </c>
      <c r="D21" s="283">
        <f>SUM(D8:D12, D15:D20)</f>
        <v>22987679</v>
      </c>
      <c r="E21" s="330">
        <f>SUM(E8:E12, E15:E20)</f>
        <v>1311102107.8529985</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188</v>
      </c>
      <c r="B1" s="17" t="str">
        <f>Info!C2</f>
        <v>ს.ს. "ტერაბანკი"</v>
      </c>
    </row>
    <row r="2" spans="1:6" s="22" customFormat="1" ht="15.75" customHeight="1">
      <c r="A2" s="22" t="s">
        <v>189</v>
      </c>
      <c r="B2" s="435">
        <f>'1. key ratios'!B2</f>
        <v>44377</v>
      </c>
      <c r="C2"/>
      <c r="D2"/>
      <c r="E2"/>
      <c r="F2"/>
    </row>
    <row r="3" spans="1:6" s="22" customFormat="1" ht="15.75" customHeight="1">
      <c r="C3"/>
      <c r="D3"/>
      <c r="E3"/>
      <c r="F3"/>
    </row>
    <row r="4" spans="1:6" s="22" customFormat="1" ht="26.25" thickBot="1">
      <c r="A4" s="22" t="s">
        <v>335</v>
      </c>
      <c r="B4" s="195" t="s">
        <v>266</v>
      </c>
      <c r="C4" s="189" t="s">
        <v>93</v>
      </c>
      <c r="D4"/>
      <c r="E4"/>
      <c r="F4"/>
    </row>
    <row r="5" spans="1:6" ht="26.25">
      <c r="A5" s="190">
        <v>1</v>
      </c>
      <c r="B5" s="191" t="s">
        <v>342</v>
      </c>
      <c r="C5" s="254">
        <f>'7. LI1'!E21</f>
        <v>1311102107.8529985</v>
      </c>
    </row>
    <row r="6" spans="1:6" s="180" customFormat="1">
      <c r="A6" s="120">
        <v>2.1</v>
      </c>
      <c r="B6" s="197" t="s">
        <v>267</v>
      </c>
      <c r="C6" s="255">
        <v>74423418.350000009</v>
      </c>
    </row>
    <row r="7" spans="1:6" s="4" customFormat="1" ht="25.5" outlineLevel="1">
      <c r="A7" s="196">
        <v>2.2000000000000002</v>
      </c>
      <c r="B7" s="192" t="s">
        <v>268</v>
      </c>
      <c r="C7" s="256">
        <v>67039380.530000001</v>
      </c>
    </row>
    <row r="8" spans="1:6" s="4" customFormat="1" ht="26.25">
      <c r="A8" s="196">
        <v>3</v>
      </c>
      <c r="B8" s="193" t="s">
        <v>343</v>
      </c>
      <c r="C8" s="257">
        <f>SUM(C5:C7)</f>
        <v>1452564906.7329984</v>
      </c>
    </row>
    <row r="9" spans="1:6" s="180" customFormat="1">
      <c r="A9" s="120">
        <v>4</v>
      </c>
      <c r="B9" s="200" t="s">
        <v>264</v>
      </c>
      <c r="C9" s="255">
        <v>14911553.009999946</v>
      </c>
    </row>
    <row r="10" spans="1:6" s="4" customFormat="1" ht="25.5" outlineLevel="1">
      <c r="A10" s="196">
        <v>5.0999999999999996</v>
      </c>
      <c r="B10" s="192" t="s">
        <v>274</v>
      </c>
      <c r="C10" s="256">
        <v>-35008896.658000067</v>
      </c>
    </row>
    <row r="11" spans="1:6" s="4" customFormat="1" ht="25.5" outlineLevel="1">
      <c r="A11" s="196">
        <v>5.2</v>
      </c>
      <c r="B11" s="192" t="s">
        <v>275</v>
      </c>
      <c r="C11" s="256">
        <v>-65698592.919399999</v>
      </c>
    </row>
    <row r="12" spans="1:6" s="4" customFormat="1">
      <c r="A12" s="196">
        <v>6</v>
      </c>
      <c r="B12" s="198" t="s">
        <v>480</v>
      </c>
      <c r="C12" s="331">
        <v>1621297.71</v>
      </c>
    </row>
    <row r="13" spans="1:6" s="4" customFormat="1" ht="15.75" thickBot="1">
      <c r="A13" s="199">
        <v>7</v>
      </c>
      <c r="B13" s="194" t="s">
        <v>265</v>
      </c>
      <c r="C13" s="258">
        <f>SUM(C8:C12)</f>
        <v>1368390267.8755984</v>
      </c>
    </row>
    <row r="15" spans="1:6" ht="26.25">
      <c r="B15" s="24" t="s">
        <v>481</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D66oLtomeTbWrdKovtYwNX658BPUq/8ZLfK74n1rW+c=</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Lw8Qye0/8wLFCnCfJAbzjuw3dKIhAci+QCll3PhL7zs=</DigestValue>
    </Reference>
  </SignedInfo>
  <SignatureValue>npn/oDCmDFgsoD9RkIIJzNrRhq23w4748kse6olt+/LWMIG8Xnpk2w5jx540lVva+cD2KQOk9UFz
A82ly8B61QEOa/1icO/qou1XaH5ua07adBpwuKnqPs8viQ/RQ+MqL4VXoTwiMN+RL9bnXK0IiRNc
4GOcC1x8oNrgY6WRJ4T/YAvwLgt9XpsGazSD3mBVEJS4Y+5cZVLhNQQForl5UeSb4DNHBOTrmwpv
Ka0PCwCIwNoR1V10UEpIr8XKEqvb+fXY+2ZmvTQZcn7zYcsIuJMdXWP9SchHb5/Eb4v0L0HrZjDf
uVKAy52cNPrCQHwBuntgvYaR9Q77mzilpzjZTg==</SignatureValue>
  <KeyInfo>
    <X509Data>
      <X509Certificate>MIIGOjCCBSKgAwIBAgIKbUnumwACAAGmOzANBgkqhkiG9w0BAQsFADBKMRIwEAYKCZImiZPyLGQBGRYCZ2UxEzARBgoJkiaJk/IsZAEZFgNuYmcxHzAdBgNVBAMTFk5CRyBDbGFzcyAyIElOVCBTdWIgQ0EwHhcNMjAwOTEwMTQzOTIzWhcNMjExMjIyMDk0NjU2WjA4MRUwEwYDVQQKEwxKU0MgVGVyYWJhbmsxHzAdBgNVBAMTFkJLUyAtIE5hdGlhIEJlbmFzaHZpbGkwggEiMA0GCSqGSIb3DQEBAQUAA4IBDwAwggEKAoIBAQDbdxwykj9wI77B3YONxgb5MCFLumccgTJMKl3OrIu4Fi6aswhdQIc83yPw+gDhb1IJXrbk+WOpKkeOxxTn6wq9MDw5O+pjLscDhxYwYLJbi1J78VUFZSxvsNmB15kdFkVphkFCKVXwPRhJWUS3PE5zeMTwBhAf5JbOLf1rUQpiFwg1wbCTbi0q8LkSQAIbT1ajr9GdgI8WAuTk93Nrmtw7qrh8h5UZyzcaCHAEj8iMihF4+8kJRyQeBgh6/2Bgb3u9ZbEl4S2VyNn/nSoqjouE4Xa1RZllMrunBrd8gCoZcvmo/ifGSYHEiZRVqYpzsrZalStvZEmJ+dKJ1QLmxKphAgMBAAGjggMyMIIDLjA8BgkrBgEEAYI3FQcELzAtBiUrBgEEAYI3FQjmsmCDjfVEhoGZCYO4oUqDvoRxBIPEkTOEg4hdAgFkAgEjMB0GA1UdJQQWMBQGCCsGAQUFBwMCBggrBgEFBQcDBDALBgNVHQ8EBAMCB4AwJwYJKwYBBAGCNxUKBBowGDAKBggrBgEFBQcDAjAKBggrBgEFBQcDBDAdBgNVHQ4EFgQUw6UJLkVlikb0S7C+rrSMVvVRoL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Op/6IhmdjEoynI8H644romT3wDI6UkO4cWdnA22XA/TAlCFaC5VBi4oaSKkjEkTUxgawm4KvG5fi8GobKIiqA/m92t5R3rgO92p367E8+oxkincS2ONtqgSTbKhwD0wUanx6VCE74UtSUu/uiNELV0R+aCpY6Drtjx4iYTYqvQg2veK4DTcXbumTzHl/yQBSOZPGOctvB27zefqsdey9eaQG8sAsakGZIWGehex423MokHFwAP9b+9udYI83doYkXwLA4Q7OQ8M9d9mQX3AmSAs27GCQNfe8/hldRtxv2XrDTTjy6Jdt05yEHc1U1jsY+lJyT1VMi75vQBZkigxQ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m9sFV5Dfp0+xm0LbkYzalK1YJ3uXU3OcTjeHaJb2EpA=</DigestValue>
      </Reference>
      <Reference URI="/xl/drawings/drawing1.xml?ContentType=application/vnd.openxmlformats-officedocument.drawing+xml">
        <DigestMethod Algorithm="http://www.w3.org/2001/04/xmlenc#sha256"/>
        <DigestValue>mkZdmUOp5m29fafR0b4v1dWTw/dTHq5PefdUiv0eI14=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/+JKaSY0ILlzo6bLFae62tS7HihGk6sm2e4sP6SNthI=</DigestValue>
      </Reference>
      <Reference URI="/xl/printerSettings/printerSettings10.bin?ContentType=application/vnd.openxmlformats-officedocument.spreadsheetml.printerSettings">
        <DigestMethod Algorithm="http://www.w3.org/2001/04/xmlenc#sha256"/>
        <DigestValue>vTag//EquIVGz316BBp/20YbSyKKe9UtzaLCD9dOw68=</DigestValue>
      </Reference>
      <Reference URI="/xl/printerSettings/printerSettings11.bin?ContentType=application/vnd.openxmlformats-officedocument.spreadsheetml.printerSettings">
        <DigestMethod Algorithm="http://www.w3.org/2001/04/xmlenc#sha256"/>
        <DigestValue>8Vx/XR0IsvOM0bzbZPJha1iujtQ95MgBxomgG9UEjF0=</DigestValue>
      </Reference>
      <Reference URI="/xl/printerSettings/printerSettings12.bin?ContentType=application/vnd.openxmlformats-officedocument.spreadsheetml.printerSettings">
        <DigestMethod Algorithm="http://www.w3.org/2001/04/xmlenc#sha256"/>
        <DigestValue>vTag//EquIVGz316BBp/20YbSyKKe9UtzaLCD9dOw68=</DigestValue>
      </Reference>
      <Reference URI="/xl/printerSettings/printerSettings13.bin?ContentType=application/vnd.openxmlformats-officedocument.spreadsheetml.printerSettings">
        <DigestMethod Algorithm="http://www.w3.org/2001/04/xmlenc#sha256"/>
        <DigestValue>vTag//EquIVGz316BBp/20YbSyKKe9UtzaLCD9dOw68=</DigestValue>
      </Reference>
      <Reference URI="/xl/printerSettings/printerSettings14.bin?ContentType=application/vnd.openxmlformats-officedocument.spreadsheetml.printerSettings">
        <DigestMethod Algorithm="http://www.w3.org/2001/04/xmlenc#sha256"/>
        <DigestValue>vTag//EquIVGz316BBp/20YbSyKKe9UtzaLCD9dOw68=</DigestValue>
      </Reference>
      <Reference URI="/xl/printerSettings/printerSettings15.bin?ContentType=application/vnd.openxmlformats-officedocument.spreadsheetml.printerSettings">
        <DigestMethod Algorithm="http://www.w3.org/2001/04/xmlenc#sha256"/>
        <DigestValue>vTag//EquIVGz316BBp/20YbSyKKe9UtzaLCD9dOw68=</DigestValue>
      </Reference>
      <Reference URI="/xl/printerSettings/printerSettings16.bin?ContentType=application/vnd.openxmlformats-officedocument.spreadsheetml.printerSettings">
        <DigestMethod Algorithm="http://www.w3.org/2001/04/xmlenc#sha256"/>
        <DigestValue>vTag//EquIVGz316BBp/20YbSyKKe9UtzaLCD9dOw68=</DigestValue>
      </Reference>
      <Reference URI="/xl/printerSettings/printerSettings17.bin?ContentType=application/vnd.openxmlformats-officedocument.spreadsheetml.printerSettings">
        <DigestMethod Algorithm="http://www.w3.org/2001/04/xmlenc#sha256"/>
        <DigestValue>3OGsXvvosp/tCVPW24t2SyRfONJdWslY0u1AXjnsYFg=</DigestValue>
      </Reference>
      <Reference URI="/xl/printerSettings/printerSettings18.bin?ContentType=application/vnd.openxmlformats-officedocument.spreadsheetml.printerSettings">
        <DigestMethod Algorithm="http://www.w3.org/2001/04/xmlenc#sha256"/>
        <DigestValue>1VqEAhvpSWnTFvEaxQ9J9ZoZ8h7h3dyhYP4kO/70Ors=</DigestValue>
      </Reference>
      <Reference URI="/xl/printerSettings/printerSettings19.bin?ContentType=application/vnd.openxmlformats-officedocument.spreadsheetml.printerSettings">
        <DigestMethod Algorithm="http://www.w3.org/2001/04/xmlenc#sha256"/>
        <DigestValue>3OGsXvvosp/tCVPW24t2SyRfONJdWslY0u1AXjnsYFg=</DigestValue>
      </Reference>
      <Reference URI="/xl/printerSettings/printerSettings2.bin?ContentType=application/vnd.openxmlformats-officedocument.spreadsheetml.printerSettings">
        <DigestMethod Algorithm="http://www.w3.org/2001/04/xmlenc#sha256"/>
        <DigestValue>vTag//EquIVGz316BBp/20YbSyKKe9UtzaLCD9dOw68=</DigestValue>
      </Reference>
      <Reference URI="/xl/printerSettings/printerSettings20.bin?ContentType=application/vnd.openxmlformats-officedocument.spreadsheetml.printerSettings">
        <DigestMethod Algorithm="http://www.w3.org/2001/04/xmlenc#sha256"/>
        <DigestValue>vTag//EquIVGz316BBp/20YbSyKKe9UtzaLCD9dOw68=</DigestValue>
      </Reference>
      <Reference URI="/xl/printerSettings/printerSettings21.bin?ContentType=application/vnd.openxmlformats-officedocument.spreadsheetml.printerSettings">
        <DigestMethod Algorithm="http://www.w3.org/2001/04/xmlenc#sha256"/>
        <DigestValue>1VqEAhvpSWnTFvEaxQ9J9ZoZ8h7h3dyhYP4kO/70Ors=</DigestValue>
      </Reference>
      <Reference URI="/xl/printerSettings/printerSettings22.bin?ContentType=application/vnd.openxmlformats-officedocument.spreadsheetml.printerSettings">
        <DigestMethod Algorithm="http://www.w3.org/2001/04/xmlenc#sha256"/>
        <DigestValue>1VqEAhvpSWnTFvEaxQ9J9ZoZ8h7h3dyhYP4kO/70Ors=</DigestValue>
      </Reference>
      <Reference URI="/xl/printerSettings/printerSettings23.bin?ContentType=application/vnd.openxmlformats-officedocument.spreadsheetml.printerSettings">
        <DigestMethod Algorithm="http://www.w3.org/2001/04/xmlenc#sha256"/>
        <DigestValue>1VqEAhvpSWnTFvEaxQ9J9ZoZ8h7h3dyhYP4kO/70Ors=</DigestValue>
      </Reference>
      <Reference URI="/xl/printerSettings/printerSettings24.bin?ContentType=application/vnd.openxmlformats-officedocument.spreadsheetml.printerSettings">
        <DigestMethod Algorithm="http://www.w3.org/2001/04/xmlenc#sha256"/>
        <DigestValue>1VqEAhvpSWnTFvEaxQ9J9ZoZ8h7h3dyhYP4kO/70Ors=</DigestValue>
      </Reference>
      <Reference URI="/xl/printerSettings/printerSettings3.bin?ContentType=application/vnd.openxmlformats-officedocument.spreadsheetml.printerSettings">
        <DigestMethod Algorithm="http://www.w3.org/2001/04/xmlenc#sha256"/>
        <DigestValue>vTag//EquIVGz316BBp/20YbSyKKe9UtzaLCD9dOw68=</DigestValue>
      </Reference>
      <Reference URI="/xl/printerSettings/printerSettings4.bin?ContentType=application/vnd.openxmlformats-officedocument.spreadsheetml.printerSettings">
        <DigestMethod Algorithm="http://www.w3.org/2001/04/xmlenc#sha256"/>
        <DigestValue>vTag//EquIVGz316BBp/20YbSyKKe9UtzaLCD9dOw68=</DigestValue>
      </Reference>
      <Reference URI="/xl/printerSettings/printerSettings5.bin?ContentType=application/vnd.openxmlformats-officedocument.spreadsheetml.printerSettings">
        <DigestMethod Algorithm="http://www.w3.org/2001/04/xmlenc#sha256"/>
        <DigestValue>vTag//EquIVGz316BBp/20YbSyKKe9UtzaLCD9dOw68=</DigestValue>
      </Reference>
      <Reference URI="/xl/printerSettings/printerSettings6.bin?ContentType=application/vnd.openxmlformats-officedocument.spreadsheetml.printerSettings">
        <DigestMethod Algorithm="http://www.w3.org/2001/04/xmlenc#sha256"/>
        <DigestValue>vTag//EquIVGz316BBp/20YbSyKKe9UtzaLCD9dOw68=</DigestValue>
      </Reference>
      <Reference URI="/xl/printerSettings/printerSettings7.bin?ContentType=application/vnd.openxmlformats-officedocument.spreadsheetml.printerSettings">
        <DigestMethod Algorithm="http://www.w3.org/2001/04/xmlenc#sha256"/>
        <DigestValue>1VqEAhvpSWnTFvEaxQ9J9ZoZ8h7h3dyhYP4kO/70Ors=</DigestValue>
      </Reference>
      <Reference URI="/xl/printerSettings/printerSettings8.bin?ContentType=application/vnd.openxmlformats-officedocument.spreadsheetml.printerSettings">
        <DigestMethod Algorithm="http://www.w3.org/2001/04/xmlenc#sha256"/>
        <DigestValue>8Vx/XR0IsvOM0bzbZPJha1iujtQ95MgBxomgG9UEjF0=</DigestValue>
      </Reference>
      <Reference URI="/xl/printerSettings/printerSettings9.bin?ContentType=application/vnd.openxmlformats-officedocument.spreadsheetml.printerSettings">
        <DigestMethod Algorithm="http://www.w3.org/2001/04/xmlenc#sha256"/>
        <DigestValue>8Vx/XR0IsvOM0bzbZPJha1iujtQ95MgBxomgG9UEjF0=</DigestValue>
      </Reference>
      <Reference URI="/xl/sharedStrings.xml?ContentType=application/vnd.openxmlformats-officedocument.spreadsheetml.sharedStrings+xml">
        <DigestMethod Algorithm="http://www.w3.org/2001/04/xmlenc#sha256"/>
        <DigestValue>n5jdK0DadzXBDRUIB9jNwHpD6aVFqrSgboVrfiprvnA=</DigestValue>
      </Reference>
      <Reference URI="/xl/styles.xml?ContentType=application/vnd.openxmlformats-officedocument.spreadsheetml.styles+xml">
        <DigestMethod Algorithm="http://www.w3.org/2001/04/xmlenc#sha256"/>
        <DigestValue>nnjJwI6zVLNB+QxfJmXlvmO2pRt1AInfHYXk4h5TowM=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4xHIXONxRTqJ3CnIYKh8nCfPe9QgksFBnDQKCNaM++E=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RKtv/dmOGsrqWovkeQFNbtAjxtDBWc4Nm2YVJD3ged0=</DigestValue>
      </Reference>
      <Reference URI="/xl/worksheets/sheet10.xml?ContentType=application/vnd.openxmlformats-officedocument.spreadsheetml.worksheet+xml">
        <DigestMethod Algorithm="http://www.w3.org/2001/04/xmlenc#sha256"/>
        <DigestValue>sbZeivnuLxGb1fymagN82F5+WDByERJSgR6KIMCD4aw=</DigestValue>
      </Reference>
      <Reference URI="/xl/worksheets/sheet11.xml?ContentType=application/vnd.openxmlformats-officedocument.spreadsheetml.worksheet+xml">
        <DigestMethod Algorithm="http://www.w3.org/2001/04/xmlenc#sha256"/>
        <DigestValue>uTWe8KsiC8pxtR8MqSGjNPh2YLR6xIRgZI6AEPRpU7s=</DigestValue>
      </Reference>
      <Reference URI="/xl/worksheets/sheet12.xml?ContentType=application/vnd.openxmlformats-officedocument.spreadsheetml.worksheet+xml">
        <DigestMethod Algorithm="http://www.w3.org/2001/04/xmlenc#sha256"/>
        <DigestValue>B6qd1djqrEA2movThwEp6LwwJACCnSDdmr2Uh2m9Zbs=</DigestValue>
      </Reference>
      <Reference URI="/xl/worksheets/sheet13.xml?ContentType=application/vnd.openxmlformats-officedocument.spreadsheetml.worksheet+xml">
        <DigestMethod Algorithm="http://www.w3.org/2001/04/xmlenc#sha256"/>
        <DigestValue>1FTIrfl/bQ4lEnXk2659MXgqLs+dHtA5QmevRNnc+M4=</DigestValue>
      </Reference>
      <Reference URI="/xl/worksheets/sheet14.xml?ContentType=application/vnd.openxmlformats-officedocument.spreadsheetml.worksheet+xml">
        <DigestMethod Algorithm="http://www.w3.org/2001/04/xmlenc#sha256"/>
        <DigestValue>adXxjaiguy/jFyNkthxJTjNIIq4oxP14NXYK4HJb7PQ=</DigestValue>
      </Reference>
      <Reference URI="/xl/worksheets/sheet15.xml?ContentType=application/vnd.openxmlformats-officedocument.spreadsheetml.worksheet+xml">
        <DigestMethod Algorithm="http://www.w3.org/2001/04/xmlenc#sha256"/>
        <DigestValue>TU8nBZO5OuoEuLToRw5G5JFiPRD5s+KCbik2ySR7qRI=</DigestValue>
      </Reference>
      <Reference URI="/xl/worksheets/sheet16.xml?ContentType=application/vnd.openxmlformats-officedocument.spreadsheetml.worksheet+xml">
        <DigestMethod Algorithm="http://www.w3.org/2001/04/xmlenc#sha256"/>
        <DigestValue>zQEZ6gPNVgibTR/afAm9NT/t2WWANwVqSvGv6h/p1eI=</DigestValue>
      </Reference>
      <Reference URI="/xl/worksheets/sheet17.xml?ContentType=application/vnd.openxmlformats-officedocument.spreadsheetml.worksheet+xml">
        <DigestMethod Algorithm="http://www.w3.org/2001/04/xmlenc#sha256"/>
        <DigestValue>DGTwNHtFyvNuoZ2ZnlU9oPK3BdTByCjIM6zEnd6VFyQ=</DigestValue>
      </Reference>
      <Reference URI="/xl/worksheets/sheet18.xml?ContentType=application/vnd.openxmlformats-officedocument.spreadsheetml.worksheet+xml">
        <DigestMethod Algorithm="http://www.w3.org/2001/04/xmlenc#sha256"/>
        <DigestValue>aewR5/mp0fVxktpaoU8zOKdebGodNxIRkM5eoEcu4xM=</DigestValue>
      </Reference>
      <Reference URI="/xl/worksheets/sheet19.xml?ContentType=application/vnd.openxmlformats-officedocument.spreadsheetml.worksheet+xml">
        <DigestMethod Algorithm="http://www.w3.org/2001/04/xmlenc#sha256"/>
        <DigestValue>yOZ7kNORz7NSQpuC0tkKAdqYwDzYE2VkMinCoNLz5qI=</DigestValue>
      </Reference>
      <Reference URI="/xl/worksheets/sheet2.xml?ContentType=application/vnd.openxmlformats-officedocument.spreadsheetml.worksheet+xml">
        <DigestMethod Algorithm="http://www.w3.org/2001/04/xmlenc#sha256"/>
        <DigestValue>FdF8ZEF11tkQNGqcbb1M75QhXE0oZVTwLwMR7oByBBA=</DigestValue>
      </Reference>
      <Reference URI="/xl/worksheets/sheet20.xml?ContentType=application/vnd.openxmlformats-officedocument.spreadsheetml.worksheet+xml">
        <DigestMethod Algorithm="http://www.w3.org/2001/04/xmlenc#sha256"/>
        <DigestValue>weVM2N5bfJdh4dXI3C9dQua+1Y7matUD12aO/hnm0JE=</DigestValue>
      </Reference>
      <Reference URI="/xl/worksheets/sheet21.xml?ContentType=application/vnd.openxmlformats-officedocument.spreadsheetml.worksheet+xml">
        <DigestMethod Algorithm="http://www.w3.org/2001/04/xmlenc#sha256"/>
        <DigestValue>VrOqHbGI93P3KT5cmafLfOo4yCkcW1TuDlEcOIQZhA0=</DigestValue>
      </Reference>
      <Reference URI="/xl/worksheets/sheet22.xml?ContentType=application/vnd.openxmlformats-officedocument.spreadsheetml.worksheet+xml">
        <DigestMethod Algorithm="http://www.w3.org/2001/04/xmlenc#sha256"/>
        <DigestValue>SxkbO2OWuOt1vcxIcnaNe0v4Ec2Yqe8tRGhzL/Bhiog=</DigestValue>
      </Reference>
      <Reference URI="/xl/worksheets/sheet23.xml?ContentType=application/vnd.openxmlformats-officedocument.spreadsheetml.worksheet+xml">
        <DigestMethod Algorithm="http://www.w3.org/2001/04/xmlenc#sha256"/>
        <DigestValue>XDLLfB99QBsebuFbtbZLsfGxIynLL3zhSJUBDm/3pfo=</DigestValue>
      </Reference>
      <Reference URI="/xl/worksheets/sheet24.xml?ContentType=application/vnd.openxmlformats-officedocument.spreadsheetml.worksheet+xml">
        <DigestMethod Algorithm="http://www.w3.org/2001/04/xmlenc#sha256"/>
        <DigestValue>ocWylO1Oi5YfRZ/2W47QvUqMg++6xTMBQQD+/FHEgtY=</DigestValue>
      </Reference>
      <Reference URI="/xl/worksheets/sheet25.xml?ContentType=application/vnd.openxmlformats-officedocument.spreadsheetml.worksheet+xml">
        <DigestMethod Algorithm="http://www.w3.org/2001/04/xmlenc#sha256"/>
        <DigestValue>FC+sfLE4pGJzJK1xouOtuNSIa+/P/rmUcuqtfAN8+nI=</DigestValue>
      </Reference>
      <Reference URI="/xl/worksheets/sheet26.xml?ContentType=application/vnd.openxmlformats-officedocument.spreadsheetml.worksheet+xml">
        <DigestMethod Algorithm="http://www.w3.org/2001/04/xmlenc#sha256"/>
        <DigestValue>zTNdfOkNzfeutW9S26vWLcq+RTdsdCDeRrPo5e0LM0k=</DigestValue>
      </Reference>
      <Reference URI="/xl/worksheets/sheet27.xml?ContentType=application/vnd.openxmlformats-officedocument.spreadsheetml.worksheet+xml">
        <DigestMethod Algorithm="http://www.w3.org/2001/04/xmlenc#sha256"/>
        <DigestValue>L1U3zCyuEVCQKT8fZ2woAmMdmsz0pmtIP/GpBgBD0Uw=</DigestValue>
      </Reference>
      <Reference URI="/xl/worksheets/sheet28.xml?ContentType=application/vnd.openxmlformats-officedocument.spreadsheetml.worksheet+xml">
        <DigestMethod Algorithm="http://www.w3.org/2001/04/xmlenc#sha256"/>
        <DigestValue>awHkdlFBIeaz+zbvHyaQGxQGQcRzXlEYyGmZdMY9J2M=</DigestValue>
      </Reference>
      <Reference URI="/xl/worksheets/sheet3.xml?ContentType=application/vnd.openxmlformats-officedocument.spreadsheetml.worksheet+xml">
        <DigestMethod Algorithm="http://www.w3.org/2001/04/xmlenc#sha256"/>
        <DigestValue>wcekzS7XVjGfujLsmyWB44qcRnLcu7xRgDCok0psaug=</DigestValue>
      </Reference>
      <Reference URI="/xl/worksheets/sheet4.xml?ContentType=application/vnd.openxmlformats-officedocument.spreadsheetml.worksheet+xml">
        <DigestMethod Algorithm="http://www.w3.org/2001/04/xmlenc#sha256"/>
        <DigestValue>h0E99SzO8dcvjYDdq42egaOOiVcINxokiwn+jMQBqGU=</DigestValue>
      </Reference>
      <Reference URI="/xl/worksheets/sheet5.xml?ContentType=application/vnd.openxmlformats-officedocument.spreadsheetml.worksheet+xml">
        <DigestMethod Algorithm="http://www.w3.org/2001/04/xmlenc#sha256"/>
        <DigestValue>z6fhvquuf24gi77NMFaf3Yk6IEl5G7IkhKNqyC8fmxU=</DigestValue>
      </Reference>
      <Reference URI="/xl/worksheets/sheet6.xml?ContentType=application/vnd.openxmlformats-officedocument.spreadsheetml.worksheet+xml">
        <DigestMethod Algorithm="http://www.w3.org/2001/04/xmlenc#sha256"/>
        <DigestValue>ZGjUfIb3IMWDx7dBTOuI+nphAn5lqNcS5GQNLKK7R4k=</DigestValue>
      </Reference>
      <Reference URI="/xl/worksheets/sheet7.xml?ContentType=application/vnd.openxmlformats-officedocument.spreadsheetml.worksheet+xml">
        <DigestMethod Algorithm="http://www.w3.org/2001/04/xmlenc#sha256"/>
        <DigestValue>5gaAgdgfRJUCPGZJieMauzpHWJ9rGkUNc2x8m+sE5Ks=</DigestValue>
      </Reference>
      <Reference URI="/xl/worksheets/sheet8.xml?ContentType=application/vnd.openxmlformats-officedocument.spreadsheetml.worksheet+xml">
        <DigestMethod Algorithm="http://www.w3.org/2001/04/xmlenc#sha256"/>
        <DigestValue>su346o89pR5/X5j/H6CmtGxKavpYZstqMgtEU7w/S+s=</DigestValue>
      </Reference>
      <Reference URI="/xl/worksheets/sheet9.xml?ContentType=application/vnd.openxmlformats-officedocument.spreadsheetml.worksheet+xml">
        <DigestMethod Algorithm="http://www.w3.org/2001/04/xmlenc#sha256"/>
        <DigestValue>tYLypZuwyQe9tmmkSq21nMnWXrs2/k6sfFA0iXRWroI=</DigestValue>
      </Reference>
    </Manifest>
    <SignatureProperties>
      <SignatureProperty Id="idSignatureTime" Target="#idPackageSignature">
        <mdssi:SignatureTime xmlns:mdssi="http://schemas.openxmlformats.org/package/2006/digital-signature">
          <mdssi:Format>YYYY-MM-DDThh:mm:ssTZD</mdssi:Format>
          <mdssi:Value>2021-07-30T14:32:30Z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2021-07-30T14:32:30Z</xd:SigningTime>
          <xd:SigningCertificate>
            <xd:Cert>
              <xd:CertDigest>
                <DigestMethod Algorithm="http://www.w3.org/2001/04/xmlenc#sha256"/>
                <DigestValue>vi7OIC/UgzSg1azrOTla26HMWT2jdyeAkTAZwJ3/Y/E=</DigestValue>
              </xd:CertDigest>
              <xd:IssuerSerial>
                <X509IssuerName>CN=NBG Class 2 INT Sub CA, DC=nbg, DC=ge</X509IssuerName>
                <X509SerialNumber>516101752286183132603963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C4e9vTlIpr476h1fRBQZ3FDA3dIUN/Np08Il1cSJzDM=</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jg0dCDlkoqdG2PTPI+BHR2udFseOwkTvNO3h392yJvo=</DigestValue>
    </Reference>
  </SignedInfo>
  <SignatureValue>q87o01sHvgtIv8Ld1Qtq053BSXcTlKl6YvgvFbPPS3Y3lHAidc1m2h0p6kEFRVfIS6d8INkv69Kh
M7MMcRt+LfPzT4d04OEOMJFMLX1A8gQMN+LApiKY7S5bpA+ZyoQZl2C6g++CRxbXTpGDQgVvPEFG
yYw27dz3jqenNMnyt8Yahf17t+tUs4OGuteYMkBgKmi2tMtw4WN6JqFPq/mW/OJWV1lvTkjBWKWR
u2w7PMi+dxlkLj8s09sRc6Bz16DUqvlax7wb0+zd3Wbp3h6boOBKGizTgcNDWiRVox3hho/JKiuQ
s9Ejhkw6GLLVUL1syE6AZlqljZ0RUzHzNyjzCA==</SignatureValue>
  <KeyInfo>
    <X509Data>
      <X509Certificate>MIIGNzCCBR+gAwIBAgIKEqQdFwACAAHLYDANBgkqhkiG9w0BAQsFADBKMRIwEAYKCZImiZPyLGQBGRYCZ2UxEzARBgoJkiaJk/IsZAEZFgNuYmcxHzAdBgNVBAMTFk5CRyBDbGFzcyAyIElOVCBTdWIgQ0EwHhcNMjEwMjE3MTI0NjE2WhcNMjExMjIyMDk0NjU2WjA1MRUwEwYDVQQKEwxKU0MgVEVSQUJBTksxHDAaBgNVBAMTE0JLUyAtIFNvcGhpZSBKdWdlbGkwggEiMA0GCSqGSIb3DQEBAQUAA4IBDwAwggEKAoIBAQD8Vu5OnkSM8K6Ul2Lb5PmJSCKNwBlWET1dmbKKd4/dN+b+NxBpdpjMIbRyguQXfGlludrKGBB6sDfsq1tIZ6QTbQqhJx/TL4GV0+nhcnjXgdB7DbaNA5zlcoRpf9E1qiwlGalMEK0AGmU9dZ6OhmYsYZqw7YrAjnvcelOryzW/bq4LJE6JTg49c6xbsS48GjSelvV1A4m2+KxbUj2FntHo1AkekQX3QwyqO2OtdCbYRyToJnpaPKhcs8JMJ3Rq700vusx1DIeWVjtdPy31icKLVXxktX63a1yPIVPHAriCue86zJxFewYaUOgBlVL+J1ye09oHJ5gIRP3BwqJVP9ZlAgMBAAGjggMyMIIDLjA8BgkrBgEEAYI3FQcELzAtBiUrBgEEAYI3FQjmsmCDjfVEhoGZCYO4oUqDvoRxBIPEkTOEg4hdAgFkAgEjMB0GA1UdJQQWMBQGCCsGAQUFBwMCBggrBgEFBQcDBDALBgNVHQ8EBAMCB4AwJwYJKwYBBAGCNxUKBBowGDAKBggrBgEFBQcDAjAKBggrBgEFBQcDBDAdBgNVHQ4EFgQUyspBcTQS91GqTzTL+D3K9MYQrjQ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U00oU7Acs9vL8qlaRpIOYc9GscTcIWmCv0AMaMfD1P8saxK+VQUS2cmBijog355gt5h1Vac2K20MSBa9N6x6PSq1uFHXEe5DouD2pe3zpm95FQfK5swFFXKVYjOBbtnGRXxlSZUALamRKO3XV7Iq9lsXp9b73kSH0I32769EA3DHLsR6wkgBQBOXrJ+xYTIOuLDBOnkcVU4JnwmmG2D1gAkCmwqsh5fVyNnjfWZulEQ93T/B/Z5Ea0FvCnHp74MJ6zPLjrKeX3R0NQ1egsX+hsS3ZzLM0GC02qZCfCd8H/4nLGeNvEq6N9w0o+gU8HBN74zIvo3AadLn8phbmKu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m9sFV5Dfp0+xm0LbkYzalK1YJ3uXU3OcTjeHaJb2EpA=</DigestValue>
      </Reference>
      <Reference URI="/xl/drawings/drawing1.xml?ContentType=application/vnd.openxmlformats-officedocument.drawing+xml">
        <DigestMethod Algorithm="http://www.w3.org/2001/04/xmlenc#sha256"/>
        <DigestValue>mkZdmUOp5m29fafR0b4v1dWTw/dTHq5PefdUiv0eI14=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/+JKaSY0ILlzo6bLFae62tS7HihGk6sm2e4sP6SNthI=</DigestValue>
      </Reference>
      <Reference URI="/xl/printerSettings/printerSettings10.bin?ContentType=application/vnd.openxmlformats-officedocument.spreadsheetml.printerSettings">
        <DigestMethod Algorithm="http://www.w3.org/2001/04/xmlenc#sha256"/>
        <DigestValue>vTag//EquIVGz316BBp/20YbSyKKe9UtzaLCD9dOw68=</DigestValue>
      </Reference>
      <Reference URI="/xl/printerSettings/printerSettings11.bin?ContentType=application/vnd.openxmlformats-officedocument.spreadsheetml.printerSettings">
        <DigestMethod Algorithm="http://www.w3.org/2001/04/xmlenc#sha256"/>
        <DigestValue>8Vx/XR0IsvOM0bzbZPJha1iujtQ95MgBxomgG9UEjF0=</DigestValue>
      </Reference>
      <Reference URI="/xl/printerSettings/printerSettings12.bin?ContentType=application/vnd.openxmlformats-officedocument.spreadsheetml.printerSettings">
        <DigestMethod Algorithm="http://www.w3.org/2001/04/xmlenc#sha256"/>
        <DigestValue>vTag//EquIVGz316BBp/20YbSyKKe9UtzaLCD9dOw68=</DigestValue>
      </Reference>
      <Reference URI="/xl/printerSettings/printerSettings13.bin?ContentType=application/vnd.openxmlformats-officedocument.spreadsheetml.printerSettings">
        <DigestMethod Algorithm="http://www.w3.org/2001/04/xmlenc#sha256"/>
        <DigestValue>vTag//EquIVGz316BBp/20YbSyKKe9UtzaLCD9dOw68=</DigestValue>
      </Reference>
      <Reference URI="/xl/printerSettings/printerSettings14.bin?ContentType=application/vnd.openxmlformats-officedocument.spreadsheetml.printerSettings">
        <DigestMethod Algorithm="http://www.w3.org/2001/04/xmlenc#sha256"/>
        <DigestValue>vTag//EquIVGz316BBp/20YbSyKKe9UtzaLCD9dOw68=</DigestValue>
      </Reference>
      <Reference URI="/xl/printerSettings/printerSettings15.bin?ContentType=application/vnd.openxmlformats-officedocument.spreadsheetml.printerSettings">
        <DigestMethod Algorithm="http://www.w3.org/2001/04/xmlenc#sha256"/>
        <DigestValue>vTag//EquIVGz316BBp/20YbSyKKe9UtzaLCD9dOw68=</DigestValue>
      </Reference>
      <Reference URI="/xl/printerSettings/printerSettings16.bin?ContentType=application/vnd.openxmlformats-officedocument.spreadsheetml.printerSettings">
        <DigestMethod Algorithm="http://www.w3.org/2001/04/xmlenc#sha256"/>
        <DigestValue>vTag//EquIVGz316BBp/20YbSyKKe9UtzaLCD9dOw68=</DigestValue>
      </Reference>
      <Reference URI="/xl/printerSettings/printerSettings17.bin?ContentType=application/vnd.openxmlformats-officedocument.spreadsheetml.printerSettings">
        <DigestMethod Algorithm="http://www.w3.org/2001/04/xmlenc#sha256"/>
        <DigestValue>3OGsXvvosp/tCVPW24t2SyRfONJdWslY0u1AXjnsYFg=</DigestValue>
      </Reference>
      <Reference URI="/xl/printerSettings/printerSettings18.bin?ContentType=application/vnd.openxmlformats-officedocument.spreadsheetml.printerSettings">
        <DigestMethod Algorithm="http://www.w3.org/2001/04/xmlenc#sha256"/>
        <DigestValue>1VqEAhvpSWnTFvEaxQ9J9ZoZ8h7h3dyhYP4kO/70Ors=</DigestValue>
      </Reference>
      <Reference URI="/xl/printerSettings/printerSettings19.bin?ContentType=application/vnd.openxmlformats-officedocument.spreadsheetml.printerSettings">
        <DigestMethod Algorithm="http://www.w3.org/2001/04/xmlenc#sha256"/>
        <DigestValue>3OGsXvvosp/tCVPW24t2SyRfONJdWslY0u1AXjnsYFg=</DigestValue>
      </Reference>
      <Reference URI="/xl/printerSettings/printerSettings2.bin?ContentType=application/vnd.openxmlformats-officedocument.spreadsheetml.printerSettings">
        <DigestMethod Algorithm="http://www.w3.org/2001/04/xmlenc#sha256"/>
        <DigestValue>vTag//EquIVGz316BBp/20YbSyKKe9UtzaLCD9dOw68=</DigestValue>
      </Reference>
      <Reference URI="/xl/printerSettings/printerSettings20.bin?ContentType=application/vnd.openxmlformats-officedocument.spreadsheetml.printerSettings">
        <DigestMethod Algorithm="http://www.w3.org/2001/04/xmlenc#sha256"/>
        <DigestValue>vTag//EquIVGz316BBp/20YbSyKKe9UtzaLCD9dOw68=</DigestValue>
      </Reference>
      <Reference URI="/xl/printerSettings/printerSettings21.bin?ContentType=application/vnd.openxmlformats-officedocument.spreadsheetml.printerSettings">
        <DigestMethod Algorithm="http://www.w3.org/2001/04/xmlenc#sha256"/>
        <DigestValue>1VqEAhvpSWnTFvEaxQ9J9ZoZ8h7h3dyhYP4kO/70Ors=</DigestValue>
      </Reference>
      <Reference URI="/xl/printerSettings/printerSettings22.bin?ContentType=application/vnd.openxmlformats-officedocument.spreadsheetml.printerSettings">
        <DigestMethod Algorithm="http://www.w3.org/2001/04/xmlenc#sha256"/>
        <DigestValue>1VqEAhvpSWnTFvEaxQ9J9ZoZ8h7h3dyhYP4kO/70Ors=</DigestValue>
      </Reference>
      <Reference URI="/xl/printerSettings/printerSettings23.bin?ContentType=application/vnd.openxmlformats-officedocument.spreadsheetml.printerSettings">
        <DigestMethod Algorithm="http://www.w3.org/2001/04/xmlenc#sha256"/>
        <DigestValue>1VqEAhvpSWnTFvEaxQ9J9ZoZ8h7h3dyhYP4kO/70Ors=</DigestValue>
      </Reference>
      <Reference URI="/xl/printerSettings/printerSettings24.bin?ContentType=application/vnd.openxmlformats-officedocument.spreadsheetml.printerSettings">
        <DigestMethod Algorithm="http://www.w3.org/2001/04/xmlenc#sha256"/>
        <DigestValue>1VqEAhvpSWnTFvEaxQ9J9ZoZ8h7h3dyhYP4kO/70Ors=</DigestValue>
      </Reference>
      <Reference URI="/xl/printerSettings/printerSettings3.bin?ContentType=application/vnd.openxmlformats-officedocument.spreadsheetml.printerSettings">
        <DigestMethod Algorithm="http://www.w3.org/2001/04/xmlenc#sha256"/>
        <DigestValue>vTag//EquIVGz316BBp/20YbSyKKe9UtzaLCD9dOw68=</DigestValue>
      </Reference>
      <Reference URI="/xl/printerSettings/printerSettings4.bin?ContentType=application/vnd.openxmlformats-officedocument.spreadsheetml.printerSettings">
        <DigestMethod Algorithm="http://www.w3.org/2001/04/xmlenc#sha256"/>
        <DigestValue>vTag//EquIVGz316BBp/20YbSyKKe9UtzaLCD9dOw68=</DigestValue>
      </Reference>
      <Reference URI="/xl/printerSettings/printerSettings5.bin?ContentType=application/vnd.openxmlformats-officedocument.spreadsheetml.printerSettings">
        <DigestMethod Algorithm="http://www.w3.org/2001/04/xmlenc#sha256"/>
        <DigestValue>vTag//EquIVGz316BBp/20YbSyKKe9UtzaLCD9dOw68=</DigestValue>
      </Reference>
      <Reference URI="/xl/printerSettings/printerSettings6.bin?ContentType=application/vnd.openxmlformats-officedocument.spreadsheetml.printerSettings">
        <DigestMethod Algorithm="http://www.w3.org/2001/04/xmlenc#sha256"/>
        <DigestValue>vTag//EquIVGz316BBp/20YbSyKKe9UtzaLCD9dOw68=</DigestValue>
      </Reference>
      <Reference URI="/xl/printerSettings/printerSettings7.bin?ContentType=application/vnd.openxmlformats-officedocument.spreadsheetml.printerSettings">
        <DigestMethod Algorithm="http://www.w3.org/2001/04/xmlenc#sha256"/>
        <DigestValue>1VqEAhvpSWnTFvEaxQ9J9ZoZ8h7h3dyhYP4kO/70Ors=</DigestValue>
      </Reference>
      <Reference URI="/xl/printerSettings/printerSettings8.bin?ContentType=application/vnd.openxmlformats-officedocument.spreadsheetml.printerSettings">
        <DigestMethod Algorithm="http://www.w3.org/2001/04/xmlenc#sha256"/>
        <DigestValue>8Vx/XR0IsvOM0bzbZPJha1iujtQ95MgBxomgG9UEjF0=</DigestValue>
      </Reference>
      <Reference URI="/xl/printerSettings/printerSettings9.bin?ContentType=application/vnd.openxmlformats-officedocument.spreadsheetml.printerSettings">
        <DigestMethod Algorithm="http://www.w3.org/2001/04/xmlenc#sha256"/>
        <DigestValue>8Vx/XR0IsvOM0bzbZPJha1iujtQ95MgBxomgG9UEjF0=</DigestValue>
      </Reference>
      <Reference URI="/xl/sharedStrings.xml?ContentType=application/vnd.openxmlformats-officedocument.spreadsheetml.sharedStrings+xml">
        <DigestMethod Algorithm="http://www.w3.org/2001/04/xmlenc#sha256"/>
        <DigestValue>n5jdK0DadzXBDRUIB9jNwHpD6aVFqrSgboVrfiprvnA=</DigestValue>
      </Reference>
      <Reference URI="/xl/styles.xml?ContentType=application/vnd.openxmlformats-officedocument.spreadsheetml.styles+xml">
        <DigestMethod Algorithm="http://www.w3.org/2001/04/xmlenc#sha256"/>
        <DigestValue>nnjJwI6zVLNB+QxfJmXlvmO2pRt1AInfHYXk4h5TowM=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4xHIXONxRTqJ3CnIYKh8nCfPe9QgksFBnDQKCNaM++E=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ol7RD0u4oXNhQ2e2PwEjsxovxIuSpGyUKH569lbgpKg=</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RKtv/dmOGsrqWovkeQFNbtAjxtDBWc4Nm2YVJD3ged0=</DigestValue>
      </Reference>
      <Reference URI="/xl/worksheets/sheet10.xml?ContentType=application/vnd.openxmlformats-officedocument.spreadsheetml.worksheet+xml">
        <DigestMethod Algorithm="http://www.w3.org/2001/04/xmlenc#sha256"/>
        <DigestValue>sbZeivnuLxGb1fymagN82F5+WDByERJSgR6KIMCD4aw=</DigestValue>
      </Reference>
      <Reference URI="/xl/worksheets/sheet11.xml?ContentType=application/vnd.openxmlformats-officedocument.spreadsheetml.worksheet+xml">
        <DigestMethod Algorithm="http://www.w3.org/2001/04/xmlenc#sha256"/>
        <DigestValue>uTWe8KsiC8pxtR8MqSGjNPh2YLR6xIRgZI6AEPRpU7s=</DigestValue>
      </Reference>
      <Reference URI="/xl/worksheets/sheet12.xml?ContentType=application/vnd.openxmlformats-officedocument.spreadsheetml.worksheet+xml">
        <DigestMethod Algorithm="http://www.w3.org/2001/04/xmlenc#sha256"/>
        <DigestValue>B6qd1djqrEA2movThwEp6LwwJACCnSDdmr2Uh2m9Zbs=</DigestValue>
      </Reference>
      <Reference URI="/xl/worksheets/sheet13.xml?ContentType=application/vnd.openxmlformats-officedocument.spreadsheetml.worksheet+xml">
        <DigestMethod Algorithm="http://www.w3.org/2001/04/xmlenc#sha256"/>
        <DigestValue>1FTIrfl/bQ4lEnXk2659MXgqLs+dHtA5QmevRNnc+M4=</DigestValue>
      </Reference>
      <Reference URI="/xl/worksheets/sheet14.xml?ContentType=application/vnd.openxmlformats-officedocument.spreadsheetml.worksheet+xml">
        <DigestMethod Algorithm="http://www.w3.org/2001/04/xmlenc#sha256"/>
        <DigestValue>adXxjaiguy/jFyNkthxJTjNIIq4oxP14NXYK4HJb7PQ=</DigestValue>
      </Reference>
      <Reference URI="/xl/worksheets/sheet15.xml?ContentType=application/vnd.openxmlformats-officedocument.spreadsheetml.worksheet+xml">
        <DigestMethod Algorithm="http://www.w3.org/2001/04/xmlenc#sha256"/>
        <DigestValue>TU8nBZO5OuoEuLToRw5G5JFiPRD5s+KCbik2ySR7qRI=</DigestValue>
      </Reference>
      <Reference URI="/xl/worksheets/sheet16.xml?ContentType=application/vnd.openxmlformats-officedocument.spreadsheetml.worksheet+xml">
        <DigestMethod Algorithm="http://www.w3.org/2001/04/xmlenc#sha256"/>
        <DigestValue>zQEZ6gPNVgibTR/afAm9NT/t2WWANwVqSvGv6h/p1eI=</DigestValue>
      </Reference>
      <Reference URI="/xl/worksheets/sheet17.xml?ContentType=application/vnd.openxmlformats-officedocument.spreadsheetml.worksheet+xml">
        <DigestMethod Algorithm="http://www.w3.org/2001/04/xmlenc#sha256"/>
        <DigestValue>DGTwNHtFyvNuoZ2ZnlU9oPK3BdTByCjIM6zEnd6VFyQ=</DigestValue>
      </Reference>
      <Reference URI="/xl/worksheets/sheet18.xml?ContentType=application/vnd.openxmlformats-officedocument.spreadsheetml.worksheet+xml">
        <DigestMethod Algorithm="http://www.w3.org/2001/04/xmlenc#sha256"/>
        <DigestValue>aewR5/mp0fVxktpaoU8zOKdebGodNxIRkM5eoEcu4xM=</DigestValue>
      </Reference>
      <Reference URI="/xl/worksheets/sheet19.xml?ContentType=application/vnd.openxmlformats-officedocument.spreadsheetml.worksheet+xml">
        <DigestMethod Algorithm="http://www.w3.org/2001/04/xmlenc#sha256"/>
        <DigestValue>yOZ7kNORz7NSQpuC0tkKAdqYwDzYE2VkMinCoNLz5qI=</DigestValue>
      </Reference>
      <Reference URI="/xl/worksheets/sheet2.xml?ContentType=application/vnd.openxmlformats-officedocument.spreadsheetml.worksheet+xml">
        <DigestMethod Algorithm="http://www.w3.org/2001/04/xmlenc#sha256"/>
        <DigestValue>FdF8ZEF11tkQNGqcbb1M75QhXE0oZVTwLwMR7oByBBA=</DigestValue>
      </Reference>
      <Reference URI="/xl/worksheets/sheet20.xml?ContentType=application/vnd.openxmlformats-officedocument.spreadsheetml.worksheet+xml">
        <DigestMethod Algorithm="http://www.w3.org/2001/04/xmlenc#sha256"/>
        <DigestValue>weVM2N5bfJdh4dXI3C9dQua+1Y7matUD12aO/hnm0JE=</DigestValue>
      </Reference>
      <Reference URI="/xl/worksheets/sheet21.xml?ContentType=application/vnd.openxmlformats-officedocument.spreadsheetml.worksheet+xml">
        <DigestMethod Algorithm="http://www.w3.org/2001/04/xmlenc#sha256"/>
        <DigestValue>VrOqHbGI93P3KT5cmafLfOo4yCkcW1TuDlEcOIQZhA0=</DigestValue>
      </Reference>
      <Reference URI="/xl/worksheets/sheet22.xml?ContentType=application/vnd.openxmlformats-officedocument.spreadsheetml.worksheet+xml">
        <DigestMethod Algorithm="http://www.w3.org/2001/04/xmlenc#sha256"/>
        <DigestValue>SxkbO2OWuOt1vcxIcnaNe0v4Ec2Yqe8tRGhzL/Bhiog=</DigestValue>
      </Reference>
      <Reference URI="/xl/worksheets/sheet23.xml?ContentType=application/vnd.openxmlformats-officedocument.spreadsheetml.worksheet+xml">
        <DigestMethod Algorithm="http://www.w3.org/2001/04/xmlenc#sha256"/>
        <DigestValue>XDLLfB99QBsebuFbtbZLsfGxIynLL3zhSJUBDm/3pfo=</DigestValue>
      </Reference>
      <Reference URI="/xl/worksheets/sheet24.xml?ContentType=application/vnd.openxmlformats-officedocument.spreadsheetml.worksheet+xml">
        <DigestMethod Algorithm="http://www.w3.org/2001/04/xmlenc#sha256"/>
        <DigestValue>ocWylO1Oi5YfRZ/2W47QvUqMg++6xTMBQQD+/FHEgtY=</DigestValue>
      </Reference>
      <Reference URI="/xl/worksheets/sheet25.xml?ContentType=application/vnd.openxmlformats-officedocument.spreadsheetml.worksheet+xml">
        <DigestMethod Algorithm="http://www.w3.org/2001/04/xmlenc#sha256"/>
        <DigestValue>FC+sfLE4pGJzJK1xouOtuNSIa+/P/rmUcuqtfAN8+nI=</DigestValue>
      </Reference>
      <Reference URI="/xl/worksheets/sheet26.xml?ContentType=application/vnd.openxmlformats-officedocument.spreadsheetml.worksheet+xml">
        <DigestMethod Algorithm="http://www.w3.org/2001/04/xmlenc#sha256"/>
        <DigestValue>zTNdfOkNzfeutW9S26vWLcq+RTdsdCDeRrPo5e0LM0k=</DigestValue>
      </Reference>
      <Reference URI="/xl/worksheets/sheet27.xml?ContentType=application/vnd.openxmlformats-officedocument.spreadsheetml.worksheet+xml">
        <DigestMethod Algorithm="http://www.w3.org/2001/04/xmlenc#sha256"/>
        <DigestValue>L1U3zCyuEVCQKT8fZ2woAmMdmsz0pmtIP/GpBgBD0Uw=</DigestValue>
      </Reference>
      <Reference URI="/xl/worksheets/sheet28.xml?ContentType=application/vnd.openxmlformats-officedocument.spreadsheetml.worksheet+xml">
        <DigestMethod Algorithm="http://www.w3.org/2001/04/xmlenc#sha256"/>
        <DigestValue>awHkdlFBIeaz+zbvHyaQGxQGQcRzXlEYyGmZdMY9J2M=</DigestValue>
      </Reference>
      <Reference URI="/xl/worksheets/sheet3.xml?ContentType=application/vnd.openxmlformats-officedocument.spreadsheetml.worksheet+xml">
        <DigestMethod Algorithm="http://www.w3.org/2001/04/xmlenc#sha256"/>
        <DigestValue>wcekzS7XVjGfujLsmyWB44qcRnLcu7xRgDCok0psaug=</DigestValue>
      </Reference>
      <Reference URI="/xl/worksheets/sheet4.xml?ContentType=application/vnd.openxmlformats-officedocument.spreadsheetml.worksheet+xml">
        <DigestMethod Algorithm="http://www.w3.org/2001/04/xmlenc#sha256"/>
        <DigestValue>h0E99SzO8dcvjYDdq42egaOOiVcINxokiwn+jMQBqGU=</DigestValue>
      </Reference>
      <Reference URI="/xl/worksheets/sheet5.xml?ContentType=application/vnd.openxmlformats-officedocument.spreadsheetml.worksheet+xml">
        <DigestMethod Algorithm="http://www.w3.org/2001/04/xmlenc#sha256"/>
        <DigestValue>z6fhvquuf24gi77NMFaf3Yk6IEl5G7IkhKNqyC8fmxU=</DigestValue>
      </Reference>
      <Reference URI="/xl/worksheets/sheet6.xml?ContentType=application/vnd.openxmlformats-officedocument.spreadsheetml.worksheet+xml">
        <DigestMethod Algorithm="http://www.w3.org/2001/04/xmlenc#sha256"/>
        <DigestValue>ZGjUfIb3IMWDx7dBTOuI+nphAn5lqNcS5GQNLKK7R4k=</DigestValue>
      </Reference>
      <Reference URI="/xl/worksheets/sheet7.xml?ContentType=application/vnd.openxmlformats-officedocument.spreadsheetml.worksheet+xml">
        <DigestMethod Algorithm="http://www.w3.org/2001/04/xmlenc#sha256"/>
        <DigestValue>5gaAgdgfRJUCPGZJieMauzpHWJ9rGkUNc2x8m+sE5Ks=</DigestValue>
      </Reference>
      <Reference URI="/xl/worksheets/sheet8.xml?ContentType=application/vnd.openxmlformats-officedocument.spreadsheetml.worksheet+xml">
        <DigestMethod Algorithm="http://www.w3.org/2001/04/xmlenc#sha256"/>
        <DigestValue>su346o89pR5/X5j/H6CmtGxKavpYZstqMgtEU7w/S+s=</DigestValue>
      </Reference>
      <Reference URI="/xl/worksheets/sheet9.xml?ContentType=application/vnd.openxmlformats-officedocument.spreadsheetml.worksheet+xml">
        <DigestMethod Algorithm="http://www.w3.org/2001/04/xmlenc#sha256"/>
        <DigestValue>tYLypZuwyQe9tmmkSq21nMnWXrs2/k6sfFA0iXRWroI=</DigestValue>
      </Reference>
    </Manifest>
    <SignatureProperties>
      <SignatureProperty Id="idSignatureTime" Target="#idPackageSignature">
        <mdssi:SignatureTime xmlns:mdssi="http://schemas.openxmlformats.org/package/2006/digital-signature">
          <mdssi:Format>YYYY-MM-DDThh:mm:ssTZD</mdssi:Format>
          <mdssi:Value>2021-07-30T14:32:50Z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2021-07-30T14:32:50Z</xd:SigningTime>
          <xd:SigningCertificate>
            <xd:Cert>
              <xd:CertDigest>
                <DigestMethod Algorithm="http://www.w3.org/2001/04/xmlenc#sha256"/>
                <DigestValue>s6+yMesg4Ya9rzYH9qmDLxyi+7E1wPdsIrndeF3rsoE=</DigestValue>
              </xd:CertDigest>
              <xd:IssuerSerial>
                <X509IssuerName>CN=NBG Class 2 INT Sub CA, DC=nbg, DC=ge</X509IssuerName>
                <X509SerialNumber>88029958863902134618976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2021-07-30T14:02:38Z</dcterms:modified>
</cp:coreProperties>
</file>