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201_{5A0017C5-A3D0-4FC6-A4CD-9B03F86D1AA9}" xr6:coauthVersionLast="47" xr6:coauthVersionMax="47" xr10:uidLastSave="{00000000-0000-0000-0000-000000000000}"/>
  <bookViews>
    <workbookView xWindow="-120" yWindow="-120" windowWidth="29040" windowHeight="15840" tabRatio="919" firstSheet="13" activeTab="24"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02" l="1"/>
  <c r="D12" i="101"/>
  <c r="D7" i="101"/>
  <c r="C7" i="101"/>
  <c r="F34" i="100"/>
  <c r="H34" i="100"/>
  <c r="E34" i="100"/>
  <c r="I22" i="99"/>
  <c r="F21" i="99"/>
  <c r="H21" i="98"/>
  <c r="H20" i="98"/>
  <c r="H17" i="98"/>
  <c r="H16" i="98"/>
  <c r="H13" i="98"/>
  <c r="H12" i="98"/>
  <c r="H9" i="98"/>
  <c r="H8" i="98"/>
  <c r="C33" i="97"/>
  <c r="D33" i="97"/>
  <c r="F33" i="97"/>
  <c r="F24" i="97"/>
  <c r="E24" i="97"/>
  <c r="D24" i="97"/>
  <c r="G18" i="97"/>
  <c r="C18" i="97"/>
  <c r="E18" i="97"/>
  <c r="F18" i="97"/>
  <c r="F14" i="97"/>
  <c r="E14" i="97"/>
  <c r="G14" i="97"/>
  <c r="D14" i="97"/>
  <c r="C14" i="97"/>
  <c r="G11" i="97"/>
  <c r="D11" i="97"/>
  <c r="C11" i="97"/>
  <c r="E11" i="97"/>
  <c r="G8" i="97"/>
  <c r="E8" i="97"/>
  <c r="D8" i="97"/>
  <c r="C8" i="97"/>
  <c r="C26" i="95"/>
  <c r="C18" i="95"/>
  <c r="C8" i="95"/>
  <c r="E19" i="92"/>
  <c r="N18" i="92"/>
  <c r="E18" i="92"/>
  <c r="N17" i="92"/>
  <c r="E17" i="92"/>
  <c r="J14" i="92"/>
  <c r="F14" i="92"/>
  <c r="E16" i="92"/>
  <c r="L14" i="92"/>
  <c r="H14" i="92"/>
  <c r="E15" i="92"/>
  <c r="K14" i="92"/>
  <c r="G14" i="92"/>
  <c r="N13" i="92"/>
  <c r="E12" i="92"/>
  <c r="N11" i="92"/>
  <c r="E11" i="92"/>
  <c r="N10" i="92"/>
  <c r="E10" i="92"/>
  <c r="J7" i="92"/>
  <c r="J21" i="92" s="1"/>
  <c r="F7" i="92"/>
  <c r="E9" i="92"/>
  <c r="L7" i="92"/>
  <c r="H7" i="92"/>
  <c r="E8" i="92"/>
  <c r="K7" i="92"/>
  <c r="K21" i="92" s="1"/>
  <c r="G7" i="92"/>
  <c r="G21" i="92" s="1"/>
  <c r="H18" i="91"/>
  <c r="H14" i="91"/>
  <c r="D22" i="91"/>
  <c r="V19" i="64"/>
  <c r="V15" i="64"/>
  <c r="V11" i="64"/>
  <c r="S21" i="64"/>
  <c r="O21" i="64"/>
  <c r="K21" i="64"/>
  <c r="G21" i="64"/>
  <c r="V7" i="64"/>
  <c r="S21" i="90"/>
  <c r="S20" i="90"/>
  <c r="S19" i="90"/>
  <c r="S18" i="90"/>
  <c r="S17" i="90"/>
  <c r="S16" i="90"/>
  <c r="S15" i="90"/>
  <c r="R22" i="90"/>
  <c r="N22" i="90"/>
  <c r="J22" i="90"/>
  <c r="F22" i="90"/>
  <c r="H21" i="92" l="1"/>
  <c r="L21" i="92"/>
  <c r="F21" i="92"/>
  <c r="L22" i="90"/>
  <c r="E22" i="90"/>
  <c r="I22" i="90"/>
  <c r="M22" i="90"/>
  <c r="Q22" i="90"/>
  <c r="D21" i="64"/>
  <c r="H21" i="64"/>
  <c r="L21" i="64"/>
  <c r="P21" i="64"/>
  <c r="T21" i="64"/>
  <c r="V10" i="64"/>
  <c r="V14" i="64"/>
  <c r="V18" i="64"/>
  <c r="F22" i="91"/>
  <c r="E22" i="91"/>
  <c r="H15" i="91"/>
  <c r="I7" i="92"/>
  <c r="M7" i="92"/>
  <c r="N12" i="92"/>
  <c r="I14" i="92"/>
  <c r="M14" i="92"/>
  <c r="N19" i="92"/>
  <c r="D18" i="97"/>
  <c r="G33" i="97"/>
  <c r="C22" i="98"/>
  <c r="G22" i="98"/>
  <c r="C21" i="99"/>
  <c r="I10" i="99"/>
  <c r="I11" i="99"/>
  <c r="I14" i="99"/>
  <c r="I15" i="99"/>
  <c r="I18" i="99"/>
  <c r="I19" i="99"/>
  <c r="I23" i="99"/>
  <c r="I8" i="100"/>
  <c r="I9" i="100"/>
  <c r="I12" i="100"/>
  <c r="I13" i="100"/>
  <c r="I16" i="100"/>
  <c r="I17" i="100"/>
  <c r="I20" i="100"/>
  <c r="I21" i="100"/>
  <c r="I24" i="100"/>
  <c r="I25" i="100"/>
  <c r="I28" i="100"/>
  <c r="I29" i="100"/>
  <c r="I32" i="100"/>
  <c r="I33" i="100"/>
  <c r="C19" i="102"/>
  <c r="D22" i="90"/>
  <c r="P22" i="90"/>
  <c r="F22" i="98"/>
  <c r="E21" i="64"/>
  <c r="I21" i="64"/>
  <c r="M21" i="64"/>
  <c r="Q21" i="64"/>
  <c r="U21" i="64"/>
  <c r="V9" i="64"/>
  <c r="V13" i="64"/>
  <c r="V17" i="64"/>
  <c r="C22" i="91"/>
  <c r="G22" i="91"/>
  <c r="H22" i="91" s="1"/>
  <c r="H16" i="91"/>
  <c r="N8" i="92"/>
  <c r="N15" i="92"/>
  <c r="N20" i="92"/>
  <c r="C38" i="95"/>
  <c r="C30" i="95"/>
  <c r="F8" i="97"/>
  <c r="H10" i="98"/>
  <c r="H11" i="98"/>
  <c r="H14" i="98"/>
  <c r="H15" i="98"/>
  <c r="D22" i="98"/>
  <c r="H19" i="98"/>
  <c r="I9" i="99"/>
  <c r="H21" i="99"/>
  <c r="I13" i="99"/>
  <c r="I17" i="99"/>
  <c r="D34" i="100"/>
  <c r="I10" i="100"/>
  <c r="I14" i="100"/>
  <c r="I18" i="100"/>
  <c r="I22" i="100"/>
  <c r="I26" i="100"/>
  <c r="I30" i="100"/>
  <c r="H22" i="90"/>
  <c r="C22" i="90"/>
  <c r="G22" i="90"/>
  <c r="K22" i="90"/>
  <c r="O22" i="90"/>
  <c r="S9" i="90"/>
  <c r="S10" i="90"/>
  <c r="S11" i="90"/>
  <c r="S12" i="90"/>
  <c r="S13" i="90"/>
  <c r="S14" i="90"/>
  <c r="F21" i="64"/>
  <c r="J21" i="64"/>
  <c r="N21" i="64"/>
  <c r="R21" i="64"/>
  <c r="V8" i="64"/>
  <c r="V21" i="64" s="1"/>
  <c r="V12" i="64"/>
  <c r="V16" i="64"/>
  <c r="V20" i="64"/>
  <c r="H13" i="91"/>
  <c r="H17" i="91"/>
  <c r="H21" i="91"/>
  <c r="N9" i="92"/>
  <c r="N16" i="92"/>
  <c r="G21" i="97"/>
  <c r="F11" i="97"/>
  <c r="C24" i="97"/>
  <c r="G24" i="97"/>
  <c r="G37" i="97" s="1"/>
  <c r="E33" i="97"/>
  <c r="E22" i="98"/>
  <c r="I8" i="99"/>
  <c r="E21" i="99"/>
  <c r="I12" i="99"/>
  <c r="I16" i="99"/>
  <c r="I20" i="99"/>
  <c r="I7" i="100"/>
  <c r="I11" i="100"/>
  <c r="I15" i="100"/>
  <c r="I19" i="100"/>
  <c r="I23" i="100"/>
  <c r="I27" i="100"/>
  <c r="I31" i="100"/>
  <c r="D19" i="101"/>
  <c r="C12" i="101"/>
  <c r="C19" i="101" s="1"/>
  <c r="C34" i="100"/>
  <c r="D21" i="99"/>
  <c r="I7" i="99"/>
  <c r="H18" i="98"/>
  <c r="H22" i="98" s="1"/>
  <c r="E7" i="92"/>
  <c r="E14" i="92"/>
  <c r="C14" i="92"/>
  <c r="C7" i="92"/>
  <c r="H8" i="91"/>
  <c r="C21" i="64"/>
  <c r="S8" i="90"/>
  <c r="S22" i="90" l="1"/>
  <c r="I34" i="100"/>
  <c r="G39" i="97"/>
  <c r="M21" i="92"/>
  <c r="C45" i="69"/>
  <c r="C37" i="69"/>
  <c r="C21" i="92"/>
  <c r="I21" i="99"/>
  <c r="N14" i="92"/>
  <c r="C25" i="69"/>
  <c r="E21" i="92"/>
  <c r="N7" i="92"/>
  <c r="I21" i="92"/>
  <c r="C43" i="89"/>
  <c r="C35" i="89"/>
  <c r="C31" i="89"/>
  <c r="C30" i="89" s="1"/>
  <c r="C41" i="89" s="1"/>
  <c r="D21" i="88"/>
  <c r="D6" i="86"/>
  <c r="D13" i="86" s="1"/>
  <c r="E53" i="75"/>
  <c r="H52" i="75"/>
  <c r="E52" i="75"/>
  <c r="E51" i="75"/>
  <c r="H50" i="75"/>
  <c r="E49" i="75"/>
  <c r="E48" i="75"/>
  <c r="H47" i="75"/>
  <c r="E47" i="75"/>
  <c r="E46" i="75"/>
  <c r="E45" i="75"/>
  <c r="E44" i="75"/>
  <c r="H43" i="75"/>
  <c r="E43" i="75"/>
  <c r="H42" i="75"/>
  <c r="E42" i="75"/>
  <c r="H41" i="75"/>
  <c r="E41" i="75"/>
  <c r="H40" i="75"/>
  <c r="E40" i="75"/>
  <c r="H39" i="75"/>
  <c r="E39" i="75"/>
  <c r="H38" i="75"/>
  <c r="E38" i="75"/>
  <c r="H37" i="75"/>
  <c r="E37" i="75"/>
  <c r="H36" i="75"/>
  <c r="E36" i="75"/>
  <c r="H35" i="75"/>
  <c r="E35" i="75"/>
  <c r="E33" i="75"/>
  <c r="H32" i="75"/>
  <c r="E32" i="75"/>
  <c r="H31" i="75"/>
  <c r="E31" i="75"/>
  <c r="E30" i="75"/>
  <c r="H29" i="75"/>
  <c r="E29" i="75"/>
  <c r="H28" i="75"/>
  <c r="H27" i="75"/>
  <c r="E27" i="75"/>
  <c r="E26" i="75"/>
  <c r="H25" i="75"/>
  <c r="E25" i="75"/>
  <c r="H24" i="75"/>
  <c r="H23" i="75"/>
  <c r="E23" i="75"/>
  <c r="E22" i="75"/>
  <c r="H21" i="75"/>
  <c r="E21" i="75"/>
  <c r="H20" i="75"/>
  <c r="H19" i="75"/>
  <c r="E19" i="75"/>
  <c r="E18" i="75"/>
  <c r="H17" i="75"/>
  <c r="E17" i="75"/>
  <c r="H16" i="75"/>
  <c r="H15" i="75"/>
  <c r="E15" i="75"/>
  <c r="H14" i="75"/>
  <c r="E14" i="75"/>
  <c r="H13" i="75"/>
  <c r="E13" i="75"/>
  <c r="H12" i="75"/>
  <c r="E12" i="75"/>
  <c r="H11" i="75"/>
  <c r="E11" i="75"/>
  <c r="H10" i="75"/>
  <c r="E10" i="75"/>
  <c r="H9" i="75"/>
  <c r="E9" i="75"/>
  <c r="H8" i="75"/>
  <c r="E8" i="75"/>
  <c r="H7" i="75"/>
  <c r="E7" i="75"/>
  <c r="H66" i="85"/>
  <c r="E66" i="85"/>
  <c r="H64" i="85"/>
  <c r="E64" i="85"/>
  <c r="E60" i="85"/>
  <c r="E59" i="85"/>
  <c r="C61" i="85"/>
  <c r="E61" i="85" s="1"/>
  <c r="E51" i="85"/>
  <c r="E50" i="85"/>
  <c r="E49" i="85"/>
  <c r="C53" i="85"/>
  <c r="E44" i="85"/>
  <c r="E42" i="85"/>
  <c r="E41" i="85"/>
  <c r="E40" i="85"/>
  <c r="E38" i="85"/>
  <c r="E37" i="85"/>
  <c r="E36" i="85"/>
  <c r="D34" i="85"/>
  <c r="D45" i="85" s="1"/>
  <c r="E29" i="85"/>
  <c r="E28" i="85"/>
  <c r="E27" i="85"/>
  <c r="E26" i="85"/>
  <c r="E25" i="85"/>
  <c r="D30" i="85"/>
  <c r="C30" i="85"/>
  <c r="E30" i="85" s="1"/>
  <c r="E21" i="85"/>
  <c r="E20" i="85"/>
  <c r="E19" i="85"/>
  <c r="E18" i="85"/>
  <c r="E17" i="85"/>
  <c r="E16" i="85"/>
  <c r="E15" i="85"/>
  <c r="E14" i="85"/>
  <c r="E13" i="85"/>
  <c r="E12" i="85"/>
  <c r="E11" i="85"/>
  <c r="E10" i="85"/>
  <c r="D9" i="85"/>
  <c r="D22" i="85"/>
  <c r="E39" i="83"/>
  <c r="E38" i="83"/>
  <c r="E37" i="83"/>
  <c r="E35" i="83"/>
  <c r="E34" i="83"/>
  <c r="E33" i="83"/>
  <c r="E30" i="83"/>
  <c r="E29" i="83"/>
  <c r="E28" i="83"/>
  <c r="E26" i="83"/>
  <c r="E25" i="83"/>
  <c r="E24" i="83"/>
  <c r="E22" i="83"/>
  <c r="E19" i="83"/>
  <c r="E18" i="83"/>
  <c r="E17" i="83"/>
  <c r="E16" i="83"/>
  <c r="E15" i="83"/>
  <c r="E13" i="83"/>
  <c r="D14" i="83"/>
  <c r="E11" i="83"/>
  <c r="E9" i="83"/>
  <c r="E7" i="83"/>
  <c r="G5" i="84"/>
  <c r="F5" i="84"/>
  <c r="E5" i="84"/>
  <c r="D5" i="84"/>
  <c r="C5" i="84"/>
  <c r="D31" i="85" l="1"/>
  <c r="E27" i="83"/>
  <c r="E36" i="83"/>
  <c r="E39" i="85"/>
  <c r="D53" i="85"/>
  <c r="E48" i="85"/>
  <c r="H33" i="75"/>
  <c r="H34" i="75"/>
  <c r="H48" i="75"/>
  <c r="H49" i="75"/>
  <c r="E53" i="85"/>
  <c r="E12" i="83"/>
  <c r="E24" i="85"/>
  <c r="E47" i="85"/>
  <c r="H44" i="75"/>
  <c r="H51" i="75"/>
  <c r="C6" i="86"/>
  <c r="C13" i="86" s="1"/>
  <c r="G6" i="86"/>
  <c r="G13" i="86" s="1"/>
  <c r="E6" i="86"/>
  <c r="E13" i="86" s="1"/>
  <c r="E21" i="88"/>
  <c r="D20" i="83"/>
  <c r="D31" i="83"/>
  <c r="D41" i="83" s="1"/>
  <c r="E23" i="83"/>
  <c r="E40" i="83"/>
  <c r="E35" i="85"/>
  <c r="E43" i="85"/>
  <c r="E52" i="85"/>
  <c r="E16" i="75"/>
  <c r="H18" i="75"/>
  <c r="E20" i="75"/>
  <c r="H22" i="75"/>
  <c r="E24" i="75"/>
  <c r="H26" i="75"/>
  <c r="E28" i="75"/>
  <c r="H30" i="75"/>
  <c r="E34" i="75"/>
  <c r="H45" i="75"/>
  <c r="H46" i="75"/>
  <c r="E50" i="75"/>
  <c r="H53" i="75"/>
  <c r="F6" i="86"/>
  <c r="F13" i="86" s="1"/>
  <c r="C21" i="88"/>
  <c r="C8" i="73"/>
  <c r="C13" i="73" s="1"/>
  <c r="C6" i="89"/>
  <c r="C28" i="89" s="1"/>
  <c r="C12" i="89"/>
  <c r="C47" i="89"/>
  <c r="C52" i="89" s="1"/>
  <c r="N21" i="92"/>
  <c r="D54" i="85"/>
  <c r="D56" i="85"/>
  <c r="D63" i="85" s="1"/>
  <c r="D65" i="85" s="1"/>
  <c r="D67" i="85" s="1"/>
  <c r="E8" i="85"/>
  <c r="C9" i="85"/>
  <c r="E9" i="85" s="1"/>
  <c r="C34" i="85"/>
  <c r="E58" i="85"/>
  <c r="C31" i="83"/>
  <c r="C14" i="83"/>
  <c r="E14" i="83" s="1"/>
  <c r="E8" i="83"/>
  <c r="C20" i="83" l="1"/>
  <c r="E20" i="83" s="1"/>
  <c r="C45" i="85"/>
  <c r="E34" i="85"/>
  <c r="C22" i="85"/>
  <c r="C41" i="83"/>
  <c r="E41" i="83" s="1"/>
  <c r="E31" i="83"/>
  <c r="E45" i="85" l="1"/>
  <c r="C54" i="85"/>
  <c r="E54" i="85" s="1"/>
  <c r="E22" i="85"/>
  <c r="C31" i="85"/>
  <c r="C56" i="85" l="1"/>
  <c r="E31" i="85"/>
  <c r="E56" i="85" l="1"/>
  <c r="C63" i="85"/>
  <c r="C65" i="85" l="1"/>
  <c r="E63" i="85"/>
  <c r="E65" i="85" l="1"/>
  <c r="C67" i="85"/>
  <c r="E67" i="85" s="1"/>
  <c r="B2" i="106" l="1"/>
  <c r="B2" i="105"/>
  <c r="B2" i="104"/>
  <c r="B2" i="103"/>
  <c r="B2" i="102"/>
  <c r="B2" i="101"/>
  <c r="B2" i="100"/>
  <c r="B2" i="99"/>
  <c r="B2" i="98"/>
  <c r="B1" i="97" l="1"/>
  <c r="B1" i="95" l="1"/>
  <c r="B1" i="92"/>
  <c r="B1" i="93"/>
  <c r="C1" i="91"/>
  <c r="B1" i="64"/>
  <c r="B1" i="90"/>
  <c r="B1" i="69"/>
  <c r="B1" i="94"/>
  <c r="B1" i="89"/>
  <c r="B1" i="73"/>
  <c r="B1" i="88"/>
  <c r="B1" i="52"/>
  <c r="B1" i="86"/>
  <c r="B1" i="75"/>
  <c r="C1" i="85"/>
  <c r="G5" i="86"/>
  <c r="F5" i="86"/>
  <c r="E5" i="86"/>
  <c r="D5" i="86"/>
  <c r="C5" i="86"/>
  <c r="B1" i="91" l="1"/>
  <c r="B1" i="85"/>
  <c r="B1" i="83"/>
  <c r="B1" i="84"/>
  <c r="H13" i="83" l="1"/>
  <c r="G14" i="83" l="1"/>
  <c r="H11" i="83"/>
  <c r="H10" i="83"/>
  <c r="H9" i="83"/>
  <c r="H19" i="83"/>
  <c r="H18" i="83"/>
  <c r="H17" i="83"/>
  <c r="H16" i="83"/>
  <c r="H15" i="83"/>
  <c r="H30" i="83"/>
  <c r="H29" i="83"/>
  <c r="H28" i="83"/>
  <c r="H27" i="83"/>
  <c r="H40" i="83"/>
  <c r="H39" i="83"/>
  <c r="H38" i="83"/>
  <c r="H37" i="83"/>
  <c r="H36" i="83"/>
  <c r="H35" i="83"/>
  <c r="H34" i="83"/>
  <c r="H33" i="83"/>
  <c r="G31" i="83" l="1"/>
  <c r="G41" i="83" s="1"/>
  <c r="H7" i="83"/>
  <c r="G20" i="83"/>
  <c r="H22" i="83"/>
  <c r="H24" i="83"/>
  <c r="H26" i="83"/>
  <c r="H8" i="83"/>
  <c r="F14" i="83"/>
  <c r="H14" i="83" s="1"/>
  <c r="H12" i="83"/>
  <c r="F31" i="83"/>
  <c r="H23" i="83"/>
  <c r="H25" i="83"/>
  <c r="F20" i="83" l="1"/>
  <c r="H20" i="83" s="1"/>
  <c r="F41" i="83"/>
  <c r="H41" i="83" s="1"/>
  <c r="H31" i="83"/>
  <c r="H60" i="85" l="1"/>
  <c r="H59" i="85"/>
  <c r="H51" i="85"/>
  <c r="H49" i="85"/>
  <c r="H44" i="85"/>
  <c r="H42" i="85"/>
  <c r="H40" i="85"/>
  <c r="H38" i="85"/>
  <c r="H36" i="85"/>
  <c r="G34" i="85"/>
  <c r="G45" i="85" s="1"/>
  <c r="H29" i="85"/>
  <c r="H27" i="85"/>
  <c r="H25" i="85"/>
  <c r="G30" i="85"/>
  <c r="H21" i="85"/>
  <c r="H19" i="85"/>
  <c r="H17" i="85"/>
  <c r="H15" i="85"/>
  <c r="H13" i="85"/>
  <c r="H11" i="85"/>
  <c r="G9" i="85"/>
  <c r="H48" i="85" l="1"/>
  <c r="H50" i="85"/>
  <c r="H52" i="85"/>
  <c r="G22" i="85"/>
  <c r="G31" i="85" s="1"/>
  <c r="H8" i="85"/>
  <c r="H10" i="85"/>
  <c r="F9" i="85"/>
  <c r="H9" i="85" s="1"/>
  <c r="H12" i="85"/>
  <c r="H14" i="85"/>
  <c r="H16" i="85"/>
  <c r="H18" i="85"/>
  <c r="H20" i="85"/>
  <c r="F30" i="85"/>
  <c r="H30" i="85" s="1"/>
  <c r="H24" i="85"/>
  <c r="H26" i="85"/>
  <c r="H28" i="85"/>
  <c r="H35" i="85"/>
  <c r="F34" i="85"/>
  <c r="H37" i="85"/>
  <c r="H39" i="85"/>
  <c r="H41" i="85"/>
  <c r="H43" i="85"/>
  <c r="F53" i="85"/>
  <c r="H58" i="85"/>
  <c r="F61" i="85"/>
  <c r="H61" i="85" s="1"/>
  <c r="H47" i="85"/>
  <c r="G53" i="85"/>
  <c r="G54" i="85" s="1"/>
  <c r="G56" i="85" l="1"/>
  <c r="G63" i="85" s="1"/>
  <c r="G65" i="85" s="1"/>
  <c r="G67" i="85" s="1"/>
  <c r="F45" i="85"/>
  <c r="H34" i="85"/>
  <c r="F22" i="85"/>
  <c r="H53" i="85"/>
  <c r="F31" i="85" l="1"/>
  <c r="H22" i="85"/>
  <c r="F54" i="85"/>
  <c r="H54" i="85" s="1"/>
  <c r="H45" i="85"/>
  <c r="F56" i="85" l="1"/>
  <c r="H31" i="85"/>
  <c r="H56" i="85" l="1"/>
  <c r="F63" i="85"/>
  <c r="H63" i="85" l="1"/>
  <c r="F65" i="85"/>
  <c r="H65" i="85" l="1"/>
  <c r="F67" i="85"/>
  <c r="H67" i="85" s="1"/>
</calcChain>
</file>

<file path=xl/sharedStrings.xml><?xml version="1.0" encoding="utf-8"?>
<sst xmlns="http://schemas.openxmlformats.org/spreadsheetml/2006/main" count="1132" uniqueCount="745">
  <si>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</si>
  <si>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</si>
  <si>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</si>
  <si>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</si>
  <si>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</si>
  <si>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</si>
  <si>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</si>
  <si>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</si>
  <si>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</si>
  <si>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</si>
  <si>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</si>
  <si>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</si>
  <si>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</si>
  <si>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</si>
  <si>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</si>
  <si>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</si>
  <si>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</si>
  <si>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</si>
  <si>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</si>
  <si>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</si>
  <si>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</si>
  <si>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</si>
  <si>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</si>
  <si>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</si>
  <si>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</si>
  <si>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</si>
  <si>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</si>
  <si>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</si>
  <si>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</si>
  <si>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</si>
  <si>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</si>
  <si>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</si>
  <si>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</si>
  <si>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</si>
  <si>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</si>
  <si>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</si>
  <si>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</si>
  <si>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</si>
  <si>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</si>
  <si>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</si>
  <si>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</si>
  <si>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</si>
  <si>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</si>
  <si>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</si>
  <si>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</si>
  <si>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</si>
  <si>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</si>
  <si>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</si>
  <si>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</si>
  <si>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</si>
  <si>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</si>
  <si>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</si>
  <si>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</si>
  <si>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</si>
  <si>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</si>
  <si>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</si>
  <si>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</si>
  <si>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</si>
  <si>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</si>
  <si>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</si>
  <si>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</si>
  <si>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</si>
  <si>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</si>
  <si>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</si>
  <si>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</si>
  <si>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</si>
  <si>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</si>
  <si>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</si>
  <si>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</si>
  <si>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</si>
  <si>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</si>
  <si>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</si>
  <si>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</si>
  <si>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</si>
  <si>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</si>
  <si>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</si>
  <si>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</si>
  <si>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</si>
  <si>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</si>
  <si>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</si>
  <si>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</si>
  <si>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</si>
  <si>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</si>
  <si>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</si>
  <si>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</si>
  <si>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</si>
  <si>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</si>
  <si>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</si>
  <si>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</si>
  <si>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</si>
  <si>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</si>
  <si>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</si>
  <si>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</si>
  <si>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</si>
  <si>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</si>
  <si>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</si>
  <si>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</si>
  <si>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</si>
  <si>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</si>
  <si>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</si>
  <si>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</si>
  <si>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</si>
  <si>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</si>
  <si>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</si>
  <si>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</si>
  <si>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</si>
  <si>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</si>
  <si>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</si>
  <si>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</si>
  <si>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</si>
  <si>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</si>
  <si>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</si>
  <si>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</si>
  <si>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</si>
  <si>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</si>
  <si>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</si>
  <si>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</si>
  <si>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</si>
  <si>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</si>
  <si>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</si>
  <si>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</si>
  <si>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</si>
  <si>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</si>
  <si>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</si>
  <si>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</si>
  <si>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</si>
  <si>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</si>
  <si>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</si>
  <si>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</si>
  <si>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</si>
  <si>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</si>
  <si>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</si>
  <si>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</si>
  <si>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</si>
  <si>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</si>
  <si>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</si>
  <si>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</si>
  <si>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</si>
  <si>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</si>
  <si>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</si>
  <si>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</si>
  <si>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</si>
  <si>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</si>
  <si>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</si>
  <si>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</si>
  <si>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</si>
  <si>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</si>
  <si>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</si>
  <si>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</si>
  <si>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</si>
  <si>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</si>
  <si>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</si>
  <si>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</si>
  <si>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</si>
  <si>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</si>
  <si>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</si>
  <si>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</si>
  <si>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</si>
  <si>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</si>
  <si>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</si>
  <si>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</si>
  <si>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</si>
  <si>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</si>
  <si>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</si>
  <si>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</si>
  <si>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</si>
  <si>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</si>
  <si>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</si>
  <si>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</si>
  <si>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</si>
  <si>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</si>
  <si>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</si>
  <si>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</si>
  <si>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</si>
  <si>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</si>
  <si>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</si>
  <si>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</si>
  <si>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</si>
  <si>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</si>
  <si>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</si>
  <si>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</si>
  <si>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</si>
  <si>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</si>
  <si>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</si>
  <si>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</si>
  <si>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</si>
  <si>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</si>
  <si>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</si>
  <si>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</si>
  <si>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</si>
  <si>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</si>
  <si>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</si>
  <si>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</si>
  <si>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</si>
  <si>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</si>
  <si>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</si>
  <si>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</si>
  <si>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</si>
  <si>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</si>
  <si>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</si>
  <si>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</si>
  <si>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</si>
  <si>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</si>
  <si>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</si>
  <si>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</si>
  <si>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</si>
  <si>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</si>
  <si>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</si>
  <si>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</si>
  <si>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</si>
  <si>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</si>
  <si>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</si>
  <si>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</si>
  <si>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</si>
  <si>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</si>
  <si>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</si>
  <si>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</si>
  <si>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</si>
  <si>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</si>
  <si>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</si>
  <si>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</si>
  <si>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</si>
  <si>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</si>
  <si>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</si>
  <si>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</si>
  <si>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</si>
  <si>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</si>
  <si>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</si>
  <si>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</si>
  <si>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</si>
  <si>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</si>
  <si>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</si>
  <si>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</si>
  <si>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</si>
  <si>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</si>
  <si>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</si>
  <si>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</si>
  <si>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</si>
  <si>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</si>
  <si>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</si>
  <si>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</si>
  <si>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</si>
  <si>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</si>
  <si>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</si>
  <si>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</si>
  <si>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</si>
  <si>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</si>
  <si>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</si>
  <si>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</si>
  <si>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</si>
  <si>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</si>
  <si>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</si>
  <si>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</si>
  <si>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</si>
  <si>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</si>
  <si>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</si>
  <si>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</si>
  <si>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</si>
  <si>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</si>
  <si>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</si>
  <si>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</si>
  <si>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</si>
  <si>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</si>
  <si>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</si>
  <si>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</si>
  <si>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</si>
  <si>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</si>
  <si>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</si>
  <si>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</si>
  <si>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</si>
  <si>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</si>
  <si>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</si>
  <si>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</si>
  <si>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</si>
  <si>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</si>
  <si>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</si>
  <si>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</si>
  <si>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</si>
  <si>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</si>
  <si>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</si>
  <si>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</si>
  <si>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</si>
  <si>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</si>
  <si>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</si>
  <si>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</si>
  <si>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</si>
  <si>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</si>
  <si>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</si>
  <si>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</si>
  <si>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</si>
  <si>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</si>
  <si>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</si>
  <si>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</si>
  <si>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</si>
  <si>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</si>
  <si>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</si>
  <si>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</si>
  <si>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</si>
  <si>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</si>
  <si>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</si>
  <si>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</si>
  <si>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</si>
  <si>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</si>
  <si>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</si>
  <si>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</si>
  <si>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</si>
  <si>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</si>
  <si>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</si>
  <si>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</si>
  <si>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</si>
  <si>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</si>
  <si>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</si>
  <si>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</si>
  <si>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</si>
  <si>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</si>
  <si>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</si>
  <si>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</si>
  <si>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</si>
  <si>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</si>
  <si>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</si>
  <si>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</si>
  <si>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</si>
  <si>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</si>
  <si>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</si>
  <si>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</si>
  <si>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</si>
  <si>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</si>
  <si>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</si>
  <si>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</si>
  <si>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</si>
  <si>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</si>
  <si>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</si>
  <si>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</si>
  <si>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</si>
  <si>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</si>
  <si>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</si>
  <si>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</si>
  <si>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</si>
  <si>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</si>
  <si>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</si>
  <si>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</si>
  <si>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</si>
  <si>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</si>
  <si>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</si>
  <si>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</si>
  <si>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</si>
  <si>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</si>
  <si>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</si>
  <si>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</si>
  <si>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</si>
  <si>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</si>
  <si>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</si>
  <si>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</si>
  <si>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</si>
  <si>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</si>
  <si>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</si>
  <si>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</si>
  <si>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</si>
  <si>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</si>
  <si>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</si>
  <si>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</si>
  <si>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</si>
  <si>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</si>
  <si>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</si>
  <si>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</si>
  <si>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</si>
  <si>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</si>
  <si>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</si>
  <si>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</si>
  <si>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</si>
  <si>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</si>
  <si>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</si>
  <si>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</si>
  <si>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</si>
  <si>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</si>
  <si>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</si>
  <si>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</si>
  <si>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</si>
  <si>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</si>
  <si>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</si>
  <si>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</si>
  <si>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</si>
  <si>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</si>
  <si>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</si>
  <si>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</si>
  <si>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</si>
  <si>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</si>
  <si>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</si>
  <si>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</si>
  <si>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</si>
  <si>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</si>
  <si>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</si>
  <si>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</si>
  <si>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</si>
  <si>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</si>
  <si>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</si>
  <si>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</si>
  <si>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</si>
  <si>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</si>
  <si>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</si>
  <si>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</si>
  <si>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</si>
  <si>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</si>
  <si>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</si>
  <si>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</si>
  <si>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</si>
  <si>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</si>
  <si>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</si>
  <si>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</si>
  <si>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</si>
  <si>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</si>
  <si>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</si>
  <si>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</si>
  <si>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</si>
  <si>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</si>
  <si>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</si>
  <si>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</si>
  <si>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</si>
  <si>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</si>
  <si>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</si>
  <si>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</si>
  <si>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</si>
  <si>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</si>
  <si>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</si>
  <si>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</si>
  <si>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</si>
  <si>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</si>
  <si>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</si>
  <si>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</si>
  <si>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</si>
  <si>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</si>
  <si>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</si>
  <si>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</si>
  <si>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</si>
  <si>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</si>
  <si>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</si>
  <si>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</si>
  <si>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</si>
  <si>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</si>
  <si>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</si>
  <si>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</si>
  <si>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</si>
  <si>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</si>
  <si>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</si>
  <si>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</si>
  <si>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</si>
  <si>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</si>
  <si>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</si>
  <si>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</si>
  <si>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</si>
  <si>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</si>
  <si>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</si>
  <si>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</si>
  <si>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</si>
  <si>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</si>
  <si>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</si>
  <si>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</si>
  <si>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</si>
  <si>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</si>
  <si>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</si>
  <si>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</si>
  <si>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</si>
  <si>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</si>
  <si>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</si>
  <si>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</si>
  <si>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</si>
  <si>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</si>
  <si>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</si>
  <si>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</si>
  <si>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</si>
  <si>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</si>
  <si>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</si>
  <si>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</si>
  <si>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</si>
  <si>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</si>
  <si>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</si>
  <si>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</si>
  <si>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</si>
  <si>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</si>
  <si>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</si>
  <si>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</si>
  <si>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</si>
  <si>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</si>
  <si>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</si>
  <si>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</si>
  <si>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</si>
  <si>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</si>
  <si>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</si>
  <si>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</si>
  <si>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</si>
  <si>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</si>
  <si>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</si>
  <si>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</si>
  <si>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</si>
  <si>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</si>
  <si>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</si>
  <si>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</si>
  <si>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</si>
  <si>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</si>
  <si>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</si>
  <si>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</si>
  <si>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</si>
  <si>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</si>
  <si>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</si>
  <si>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</si>
  <si>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</si>
  <si>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</si>
  <si>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</si>
  <si>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</si>
  <si>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</si>
  <si>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</si>
  <si>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</si>
  <si>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</si>
  <si>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</si>
  <si>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</si>
  <si>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</si>
  <si>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</si>
  <si>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</si>
  <si>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</si>
  <si>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</si>
  <si>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</si>
  <si>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</si>
  <si>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</si>
  <si>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</si>
  <si>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</si>
  <si>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</si>
  <si>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</si>
  <si>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</si>
  <si>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</si>
  <si>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</si>
  <si>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</si>
  <si>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</si>
  <si>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</si>
  <si>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</si>
  <si>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</si>
  <si>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</si>
  <si>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</si>
  <si>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</si>
  <si>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</si>
  <si>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</si>
  <si>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</si>
  <si>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</si>
  <si>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</si>
  <si>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</si>
  <si>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</si>
  <si>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</si>
  <si>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</si>
  <si>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</si>
  <si>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</si>
  <si>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</si>
  <si>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</si>
  <si>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</si>
  <si>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</si>
  <si>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</si>
  <si>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</si>
  <si>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</si>
  <si>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</si>
  <si>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</si>
  <si>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</si>
  <si>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</si>
  <si>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</si>
  <si>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</si>
  <si>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</si>
  <si>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</si>
  <si>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</si>
  <si>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</si>
  <si>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</si>
  <si>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</si>
  <si>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</si>
  <si>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</si>
  <si>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</si>
  <si>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</si>
  <si>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</si>
  <si>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</si>
  <si>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</si>
  <si>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</si>
  <si>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</si>
  <si>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</si>
  <si>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</si>
  <si>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</si>
  <si>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</si>
  <si>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</si>
  <si>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</si>
  <si>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</si>
  <si>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</si>
  <si>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</si>
  <si>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</si>
  <si>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</si>
  <si>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</si>
  <si>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</si>
  <si>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</si>
  <si>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</si>
  <si>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</si>
  <si>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</si>
  <si>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</si>
  <si>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</si>
  <si>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</si>
  <si>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</si>
  <si>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</si>
  <si>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</si>
  <si>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</si>
  <si>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</si>
  <si>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</si>
  <si>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</si>
  <si>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</si>
  <si>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</si>
  <si>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</si>
  <si>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</si>
  <si>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</si>
  <si>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</si>
  <si>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</si>
  <si>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</si>
  <si>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</si>
  <si>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</si>
  <si>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</si>
  <si>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</si>
  <si>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</si>
  <si>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</si>
  <si>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</si>
  <si>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</si>
  <si>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</si>
  <si>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</si>
  <si>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</si>
  <si>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</si>
  <si>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</si>
  <si>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</si>
  <si>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</si>
  <si>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</si>
  <si>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</si>
  <si>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</si>
  <si>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</si>
  <si>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</si>
  <si>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</si>
  <si>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</si>
  <si>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</si>
  <si>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</si>
  <si>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</si>
  <si>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</si>
  <si>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</si>
  <si>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</si>
  <si>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</si>
  <si>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</si>
  <si>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</si>
  <si>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</si>
  <si>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</si>
  <si>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</si>
  <si>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</si>
  <si>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</si>
  <si>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</si>
  <si>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</si>
  <si>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</si>
  <si>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</si>
  <si>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</si>
  <si>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</si>
  <si>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</si>
  <si>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</si>
  <si>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</si>
  <si>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</si>
  <si>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</si>
  <si>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</si>
  <si>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</si>
  <si>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</si>
  <si>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</si>
  <si>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</si>
  <si>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</si>
  <si>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</si>
  <si>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</si>
  <si>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</si>
  <si>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</si>
  <si>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</si>
  <si>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</si>
  <si>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</si>
  <si>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</si>
  <si>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</si>
  <si>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</si>
  <si>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</si>
  <si>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</si>
  <si>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</si>
  <si>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</si>
  <si>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</si>
  <si>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</si>
  <si>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</si>
  <si>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</si>
  <si>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</si>
  <si>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</si>
  <si>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</si>
  <si>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</si>
  <si>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</si>
  <si>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</si>
  <si>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</si>
  <si>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</si>
  <si>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</si>
  <si>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</si>
  <si>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</si>
  <si>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</si>
  <si>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</si>
  <si>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</si>
  <si>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</si>
  <si>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</si>
  <si>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</si>
  <si>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</si>
  <si>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</si>
  <si>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</si>
  <si>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</si>
  <si>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</si>
  <si>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</si>
  <si>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</si>
  <si>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</si>
  <si>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</si>
  <si>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</si>
  <si>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</si>
  <si>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www.terabank.ge</t>
  </si>
  <si>
    <t>კოეფიციენტი</t>
  </si>
  <si>
    <t>თანხა (ლარი)</t>
  </si>
  <si>
    <t>6.2.1</t>
  </si>
  <si>
    <t xml:space="preserve">              General Reserves</t>
  </si>
  <si>
    <t>6.2.2</t>
  </si>
  <si>
    <t xml:space="preserve">              COVID 19 related Reserves</t>
  </si>
  <si>
    <t>Terabank</t>
  </si>
  <si>
    <t>H.H. Sheikh Nahayan Mabarak Al Nahayan</t>
  </si>
  <si>
    <t>Thea Lortkipanidze</t>
  </si>
  <si>
    <t>H.H. Sheikh Nahayan Mabarak Al Nahayan (Chairman)</t>
  </si>
  <si>
    <t>Non-independent chair</t>
  </si>
  <si>
    <t>H.E Sheikh Saif Mohammed Bin Buti Al Hamed (Deputy)</t>
  </si>
  <si>
    <t>Non-independent member</t>
  </si>
  <si>
    <t>Semi Edvard Adam Khalil (Member)</t>
  </si>
  <si>
    <t>Seiti Devdariani (Member)</t>
  </si>
  <si>
    <t>Independent member</t>
  </si>
  <si>
    <t>Geert Roelof De Korte (Member)</t>
  </si>
  <si>
    <t>Nana Mikashavidze (Member)</t>
  </si>
  <si>
    <t xml:space="preserve">Thea Lortkipanidze </t>
  </si>
  <si>
    <t>Chief Executive Officer</t>
  </si>
  <si>
    <t>Sophia Jugeli</t>
  </si>
  <si>
    <t>Chief Financial Officer</t>
  </si>
  <si>
    <t>Teimuraz Abuladze</t>
  </si>
  <si>
    <t>Chief Risks Officer</t>
  </si>
  <si>
    <t>Vakhtang Khutsishvili</t>
  </si>
  <si>
    <t>Chief Operating Officer</t>
  </si>
  <si>
    <t xml:space="preserve">Davit Verulashvili </t>
  </si>
  <si>
    <t>Chief Commercial Officer</t>
  </si>
  <si>
    <t>H.H. Sheikh Mansoor Binzayed Binsultan Al-Nahyan</t>
  </si>
  <si>
    <t>H.E. Sheikh Mohamed Butti Alhamed</t>
  </si>
  <si>
    <t>LTD "INVESTMENT TRADING GROUP"</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</si>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</sst>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sz val="10"/>
      <color theme="1"/>
      <name val="Sylfaen"/>
      <family val="1"/>
    </font>
    <font>
      <i/>
      <sz val="10"/>
      <color theme="1"/>
      <name val="Sylfaen"/>
      <family val="1"/>
    </font>
    <font>
      <b/>
      <sz val="10"/>
      <color theme="1"/>
      <name val="Sylfaen"/>
      <family val="1"/>
    </font>
    <font>
      <b/>
      <sz val="1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15">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5"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0" fontId="84" fillId="0" borderId="76"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21" xfId="0" applyFont="1" applyBorder="1" applyAlignment="1">
      <alignment horizontal="center" vertical="center"/>
    </xf>
    <xf numFmtId="0" fontId="3" fillId="0" borderId="88" xfId="0" applyFont="1" applyBorder="1" applyAlignment="1">
      <alignment vertical="center"/>
    </xf>
    <xf numFmtId="0" fontId="4" fillId="0" borderId="88"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70"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4" xfId="0" applyFont="1" applyBorder="1" applyAlignment="1">
      <alignment horizontal="center" vertical="center"/>
    </xf>
    <xf numFmtId="0" fontId="3" fillId="0" borderId="95" xfId="0" applyFont="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Border="1" applyAlignment="1">
      <alignment horizontal="center" vertical="center"/>
    </xf>
    <xf numFmtId="0" fontId="3" fillId="0" borderId="99" xfId="0" applyFont="1" applyBorder="1" applyAlignment="1">
      <alignment vertical="center"/>
    </xf>
    <xf numFmtId="169" fontId="9" fillId="37" borderId="33" xfId="20" applyBorder="1"/>
    <xf numFmtId="0" fontId="4" fillId="0" borderId="0" xfId="0" applyFont="1" applyAlignment="1">
      <alignment horizontal="center"/>
    </xf>
    <xf numFmtId="0" fontId="86"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4" fillId="0" borderId="88" xfId="0" applyFont="1" applyBorder="1"/>
    <xf numFmtId="0" fontId="84" fillId="0" borderId="88" xfId="0" applyFont="1" applyBorder="1" applyAlignment="1">
      <alignment horizontal="left" indent="1"/>
    </xf>
    <xf numFmtId="0" fontId="87" fillId="0" borderId="88"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6" xfId="20964" applyFont="1" applyFill="1" applyBorder="1">
      <alignment vertical="center"/>
    </xf>
    <xf numFmtId="0" fontId="45" fillId="77" borderId="107" xfId="20964" applyFont="1" applyFill="1" applyBorder="1">
      <alignment vertical="center"/>
    </xf>
    <xf numFmtId="0" fontId="45" fillId="77" borderId="104" xfId="20964" applyFont="1" applyFill="1" applyBorder="1">
      <alignment vertical="center"/>
    </xf>
    <xf numFmtId="0" fontId="105" fillId="70" borderId="103" xfId="20964" applyFont="1" applyFill="1" applyBorder="1" applyAlignment="1">
      <alignment horizontal="center" vertical="center"/>
    </xf>
    <xf numFmtId="0" fontId="105" fillId="70" borderId="104" xfId="20964" applyFont="1" applyFill="1" applyBorder="1" applyAlignment="1">
      <alignment horizontal="left" vertical="center" wrapText="1"/>
    </xf>
    <xf numFmtId="0" fontId="104" fillId="78" borderId="105" xfId="20964" applyFont="1" applyFill="1" applyBorder="1" applyAlignment="1">
      <alignment horizontal="center" vertical="center"/>
    </xf>
    <xf numFmtId="0" fontId="104" fillId="78" borderId="107" xfId="20964" applyFont="1" applyFill="1" applyBorder="1" applyAlignment="1">
      <alignment vertical="top" wrapText="1"/>
    </xf>
    <xf numFmtId="0" fontId="106" fillId="70" borderId="103" xfId="20964" applyFont="1" applyFill="1" applyBorder="1" applyAlignment="1">
      <alignment horizontal="center" vertical="center"/>
    </xf>
    <xf numFmtId="0" fontId="105" fillId="70" borderId="107" xfId="20964" applyFont="1" applyFill="1" applyBorder="1" applyAlignment="1">
      <alignment vertical="center" wrapText="1"/>
    </xf>
    <xf numFmtId="0" fontId="105" fillId="70" borderId="104" xfId="20964" applyFont="1" applyFill="1" applyBorder="1" applyAlignment="1">
      <alignment horizontal="left" vertical="center"/>
    </xf>
    <xf numFmtId="0" fontId="106" fillId="3" borderId="103" xfId="20964" applyFont="1" applyFill="1" applyBorder="1" applyAlignment="1">
      <alignment horizontal="center" vertical="center"/>
    </xf>
    <xf numFmtId="0" fontId="105" fillId="3" borderId="104" xfId="20964" applyFont="1" applyFill="1" applyBorder="1" applyAlignment="1">
      <alignment horizontal="left" vertical="center"/>
    </xf>
    <xf numFmtId="0" fontId="106" fillId="0" borderId="103" xfId="20964" applyFont="1" applyBorder="1" applyAlignment="1">
      <alignment horizontal="center" vertical="center"/>
    </xf>
    <xf numFmtId="0" fontId="105" fillId="0" borderId="104" xfId="20964" applyFont="1" applyBorder="1" applyAlignment="1">
      <alignment horizontal="left" vertical="center"/>
    </xf>
    <xf numFmtId="0" fontId="107" fillId="78" borderId="105" xfId="20964" applyFont="1" applyFill="1" applyBorder="1" applyAlignment="1">
      <alignment horizontal="center" vertical="center"/>
    </xf>
    <xf numFmtId="0" fontId="104" fillId="78" borderId="107" xfId="20964" applyFont="1" applyFill="1" applyBorder="1">
      <alignment vertical="center"/>
    </xf>
    <xf numFmtId="0" fontId="104" fillId="77" borderId="106" xfId="20964" applyFont="1" applyFill="1" applyBorder="1">
      <alignment vertical="center"/>
    </xf>
    <xf numFmtId="0" fontId="104" fillId="77" borderId="107" xfId="20964" applyFont="1" applyFill="1" applyBorder="1">
      <alignment vertical="center"/>
    </xf>
    <xf numFmtId="0" fontId="109" fillId="3" borderId="103" xfId="20964" applyFont="1" applyFill="1" applyBorder="1" applyAlignment="1">
      <alignment horizontal="center" vertical="center"/>
    </xf>
    <xf numFmtId="0" fontId="110" fillId="78" borderId="105" xfId="20964" applyFont="1" applyFill="1" applyBorder="1" applyAlignment="1">
      <alignment horizontal="center" vertical="center"/>
    </xf>
    <xf numFmtId="0" fontId="45" fillId="78" borderId="107" xfId="20964" applyFont="1" applyFill="1" applyBorder="1">
      <alignment vertical="center"/>
    </xf>
    <xf numFmtId="0" fontId="109" fillId="70" borderId="103" xfId="20964" applyFont="1" applyFill="1" applyBorder="1" applyAlignment="1">
      <alignment horizontal="center" vertical="center"/>
    </xf>
    <xf numFmtId="0" fontId="110" fillId="3" borderId="105" xfId="20964" applyFont="1" applyFill="1" applyBorder="1" applyAlignment="1">
      <alignment horizontal="center" vertical="center"/>
    </xf>
    <xf numFmtId="0" fontId="45" fillId="3" borderId="107" xfId="20964" applyFont="1" applyFill="1" applyBorder="1">
      <alignment vertical="center"/>
    </xf>
    <xf numFmtId="0" fontId="106" fillId="70" borderId="105" xfId="20964" applyFont="1" applyFill="1" applyBorder="1" applyAlignment="1">
      <alignment horizontal="center" vertical="center"/>
    </xf>
    <xf numFmtId="0" fontId="19" fillId="70" borderId="105" xfId="20964" applyFont="1" applyFill="1" applyBorder="1" applyAlignment="1">
      <alignment horizontal="center" vertical="center"/>
    </xf>
    <xf numFmtId="0" fontId="100" fillId="0" borderId="105" xfId="0" applyFont="1" applyBorder="1" applyAlignment="1">
      <alignment horizontal="left" vertical="center" wrapText="1"/>
    </xf>
    <xf numFmtId="10" fontId="102" fillId="0" borderId="25" xfId="20962" applyNumberFormat="1" applyFont="1" applyFill="1" applyBorder="1" applyAlignment="1" applyProtection="1">
      <alignment horizontal="left" vertical="center"/>
    </xf>
    <xf numFmtId="0" fontId="4" fillId="36" borderId="105" xfId="0" applyFont="1" applyFill="1" applyBorder="1" applyAlignment="1">
      <alignment horizontal="left" vertical="center" wrapText="1"/>
    </xf>
    <xf numFmtId="0" fontId="3" fillId="0" borderId="105" xfId="0" applyFont="1" applyBorder="1" applyAlignment="1">
      <alignment horizontal="left" vertical="center" wrapText="1"/>
    </xf>
    <xf numFmtId="0" fontId="4" fillId="36" borderId="90" xfId="0" applyFont="1" applyFill="1" applyBorder="1" applyAlignment="1">
      <alignment vertical="center" wrapText="1"/>
    </xf>
    <xf numFmtId="0" fontId="4" fillId="36" borderId="104"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5" xfId="0" applyFont="1" applyBorder="1"/>
    <xf numFmtId="0" fontId="6" fillId="0" borderId="105" xfId="17" applyFill="1" applyBorder="1" applyAlignment="1" applyProtection="1">
      <alignment horizontal="left" vertical="center"/>
    </xf>
    <xf numFmtId="0" fontId="6" fillId="0" borderId="105" xfId="17" applyBorder="1" applyAlignment="1" applyProtection="1"/>
    <xf numFmtId="0" fontId="6" fillId="0" borderId="105" xfId="17" applyFill="1" applyBorder="1" applyAlignment="1" applyProtection="1">
      <alignment horizontal="left" vertical="center" wrapText="1"/>
    </xf>
    <xf numFmtId="0" fontId="6" fillId="0" borderId="105"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8" xfId="0" applyFont="1" applyFill="1" applyBorder="1" applyAlignment="1">
      <alignment wrapText="1"/>
    </xf>
    <xf numFmtId="0" fontId="3" fillId="3" borderId="109" xfId="0" applyFont="1" applyFill="1" applyBorder="1"/>
    <xf numFmtId="0" fontId="4" fillId="3" borderId="83" xfId="0" applyFont="1" applyFill="1" applyBorder="1" applyAlignment="1">
      <alignment horizontal="center" wrapText="1"/>
    </xf>
    <xf numFmtId="0" fontId="3" fillId="0" borderId="105" xfId="0" applyFont="1" applyBorder="1" applyAlignment="1">
      <alignment horizontal="center"/>
    </xf>
    <xf numFmtId="0" fontId="3" fillId="3" borderId="70"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2" xfId="0" applyFont="1" applyFill="1" applyBorder="1" applyAlignment="1">
      <alignment horizontal="center" vertical="center" wrapText="1"/>
    </xf>
    <xf numFmtId="0" fontId="3" fillId="0" borderId="21" xfId="0" applyFont="1" applyBorder="1"/>
    <xf numFmtId="0" fontId="3" fillId="0" borderId="105" xfId="0" applyFont="1" applyBorder="1" applyAlignment="1">
      <alignment wrapText="1"/>
    </xf>
    <xf numFmtId="164" fontId="3" fillId="0" borderId="89" xfId="7" applyNumberFormat="1" applyFont="1" applyBorder="1"/>
    <xf numFmtId="0" fontId="99" fillId="0" borderId="105" xfId="0" applyFont="1" applyBorder="1" applyAlignment="1">
      <alignment horizontal="left" wrapText="1" indent="2"/>
    </xf>
    <xf numFmtId="0" fontId="4" fillId="0" borderId="21" xfId="0" applyFont="1" applyBorder="1"/>
    <xf numFmtId="0" fontId="4" fillId="0" borderId="105" xfId="0" applyFont="1" applyBorder="1" applyAlignment="1">
      <alignment wrapText="1"/>
    </xf>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2" xfId="7" applyNumberFormat="1" applyFont="1" applyFill="1" applyBorder="1"/>
    <xf numFmtId="0" fontId="99" fillId="0" borderId="105"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102"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3" xfId="0" applyFont="1" applyBorder="1" applyAlignment="1">
      <alignment vertical="center" wrapText="1"/>
    </xf>
    <xf numFmtId="0" fontId="112" fillId="0" borderId="0" xfId="11" applyFont="1"/>
    <xf numFmtId="0" fontId="114" fillId="0" borderId="0" xfId="11" applyFont="1"/>
    <xf numFmtId="0" fontId="117" fillId="0" borderId="120" xfId="13" applyFont="1" applyBorder="1" applyAlignment="1" applyProtection="1">
      <alignment horizontal="left" vertical="center" wrapText="1"/>
      <protection locked="0"/>
    </xf>
    <xf numFmtId="49" fontId="117" fillId="0" borderId="120" xfId="5" applyNumberFormat="1" applyFont="1" applyBorder="1" applyAlignment="1" applyProtection="1">
      <alignment horizontal="right" vertical="center"/>
      <protection locked="0"/>
    </xf>
    <xf numFmtId="49" fontId="118" fillId="0" borderId="120" xfId="5" applyNumberFormat="1" applyFont="1" applyBorder="1" applyAlignment="1" applyProtection="1">
      <alignment horizontal="right" vertical="center"/>
      <protection locked="0"/>
    </xf>
    <xf numFmtId="0" fontId="113" fillId="0" borderId="120" xfId="0" applyFont="1" applyBorder="1"/>
    <xf numFmtId="49" fontId="117" fillId="0" borderId="120" xfId="5" applyNumberFormat="1" applyFont="1" applyBorder="1" applyAlignment="1" applyProtection="1">
      <alignment horizontal="right" vertical="center" wrapText="1"/>
      <protection locked="0"/>
    </xf>
    <xf numFmtId="49" fontId="118" fillId="0" borderId="120" xfId="5" applyNumberFormat="1" applyFont="1" applyBorder="1" applyAlignment="1" applyProtection="1">
      <alignment horizontal="right" vertical="center" wrapText="1"/>
      <protection locked="0"/>
    </xf>
    <xf numFmtId="0" fontId="113" fillId="0" borderId="0" xfId="0" applyFont="1"/>
    <xf numFmtId="0" fontId="112" fillId="0" borderId="120" xfId="0" applyFont="1" applyBorder="1" applyAlignment="1">
      <alignment horizontal="left" vertical="center" wrapText="1"/>
    </xf>
    <xf numFmtId="0" fontId="116" fillId="0" borderId="120" xfId="0" applyFont="1" applyBorder="1"/>
    <xf numFmtId="0" fontId="115" fillId="0" borderId="120" xfId="0" applyFont="1" applyBorder="1" applyAlignment="1">
      <alignment horizontal="left" indent="1"/>
    </xf>
    <xf numFmtId="0" fontId="115" fillId="0" borderId="120" xfId="0" applyFont="1" applyBorder="1" applyAlignment="1">
      <alignment horizontal="left" wrapText="1" indent="1"/>
    </xf>
    <xf numFmtId="0" fontId="112" fillId="0" borderId="120" xfId="0" applyFont="1" applyBorder="1" applyAlignment="1">
      <alignment horizontal="left" indent="1"/>
    </xf>
    <xf numFmtId="0" fontId="112" fillId="0" borderId="120" xfId="0" applyFont="1" applyBorder="1" applyAlignment="1">
      <alignment horizontal="left" wrapText="1" indent="2"/>
    </xf>
    <xf numFmtId="0" fontId="115" fillId="0" borderId="120" xfId="0" applyFont="1" applyBorder="1" applyAlignment="1">
      <alignment horizontal="left" vertical="center" indent="1"/>
    </xf>
    <xf numFmtId="0" fontId="113" fillId="0" borderId="120" xfId="0" applyFont="1" applyBorder="1" applyAlignment="1">
      <alignment horizontal="left" wrapText="1"/>
    </xf>
    <xf numFmtId="0" fontId="113" fillId="0" borderId="120" xfId="0" applyFont="1" applyBorder="1" applyAlignment="1">
      <alignment horizontal="left" wrapText="1" indent="2"/>
    </xf>
    <xf numFmtId="49" fontId="113" fillId="0" borderId="120" xfId="0" applyNumberFormat="1" applyFont="1" applyBorder="1" applyAlignment="1">
      <alignment horizontal="left" indent="3"/>
    </xf>
    <xf numFmtId="49" fontId="113" fillId="0" borderId="120" xfId="0" applyNumberFormat="1" applyFont="1" applyBorder="1" applyAlignment="1">
      <alignment horizontal="left" indent="1"/>
    </xf>
    <xf numFmtId="49" fontId="113" fillId="0" borderId="120" xfId="0" applyNumberFormat="1" applyFont="1" applyBorder="1" applyAlignment="1">
      <alignment horizontal="left" vertical="top" wrapText="1" indent="2"/>
    </xf>
    <xf numFmtId="49" fontId="113" fillId="0" borderId="120" xfId="0" applyNumberFormat="1" applyFont="1" applyBorder="1" applyAlignment="1">
      <alignment horizontal="left" wrapText="1" indent="3"/>
    </xf>
    <xf numFmtId="49" fontId="113" fillId="0" borderId="120" xfId="0" applyNumberFormat="1" applyFont="1" applyBorder="1" applyAlignment="1">
      <alignment horizontal="left" wrapText="1" indent="2"/>
    </xf>
    <xf numFmtId="0" fontId="113" fillId="0" borderId="120" xfId="0" applyFont="1" applyBorder="1" applyAlignment="1">
      <alignment horizontal="left" wrapText="1" indent="1"/>
    </xf>
    <xf numFmtId="49" fontId="113" fillId="0" borderId="120" xfId="0" applyNumberFormat="1" applyFont="1" applyBorder="1" applyAlignment="1">
      <alignment horizontal="left" wrapText="1" indent="1"/>
    </xf>
    <xf numFmtId="0" fontId="115" fillId="0" borderId="76" xfId="0" applyFont="1" applyBorder="1" applyAlignment="1">
      <alignment horizontal="left" vertical="center" wrapText="1"/>
    </xf>
    <xf numFmtId="0" fontId="113" fillId="0" borderId="121" xfId="0" applyFont="1" applyBorder="1" applyAlignment="1">
      <alignment horizontal="center" vertical="center" wrapText="1"/>
    </xf>
    <xf numFmtId="0" fontId="115" fillId="0" borderId="120" xfId="0" applyFont="1" applyBorder="1" applyAlignment="1">
      <alignment horizontal="left" vertical="center" wrapText="1"/>
    </xf>
    <xf numFmtId="0" fontId="113" fillId="0" borderId="120" xfId="0" applyFont="1" applyBorder="1" applyAlignment="1">
      <alignment horizontal="left" indent="1"/>
    </xf>
    <xf numFmtId="0" fontId="6" fillId="0" borderId="120" xfId="17" applyBorder="1" applyAlignment="1" applyProtection="1"/>
    <xf numFmtId="0" fontId="116" fillId="0" borderId="120"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20"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20" xfId="0" applyFont="1" applyBorder="1" applyAlignment="1">
      <alignment horizontal="center" vertical="center"/>
    </xf>
    <xf numFmtId="0" fontId="113" fillId="0" borderId="120" xfId="0" applyFont="1" applyBorder="1" applyAlignment="1">
      <alignment horizontal="center" vertical="center" wrapText="1"/>
    </xf>
    <xf numFmtId="0" fontId="116" fillId="0" borderId="0" xfId="0" applyFont="1"/>
    <xf numFmtId="0" fontId="113" fillId="0" borderId="120" xfId="0" applyFont="1" applyBorder="1" applyAlignment="1">
      <alignment wrapText="1"/>
    </xf>
    <xf numFmtId="0" fontId="113" fillId="0" borderId="120"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20" xfId="0" applyNumberFormat="1" applyFont="1" applyBorder="1" applyAlignment="1">
      <alignment horizontal="center" vertical="center" wrapText="1"/>
    </xf>
    <xf numFmtId="0" fontId="113" fillId="0" borderId="120" xfId="0" applyFont="1" applyBorder="1" applyAlignment="1">
      <alignment horizontal="center"/>
    </xf>
    <xf numFmtId="0" fontId="113" fillId="0" borderId="7" xfId="0" applyFont="1" applyBorder="1"/>
    <xf numFmtId="0" fontId="113" fillId="0" borderId="120"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20" xfId="0" applyFont="1" applyBorder="1" applyAlignment="1">
      <alignment horizontal="center" vertical="center" wrapText="1"/>
    </xf>
    <xf numFmtId="0" fontId="113" fillId="79" borderId="120" xfId="0" applyFont="1" applyFill="1" applyBorder="1"/>
    <xf numFmtId="0" fontId="116" fillId="79" borderId="120" xfId="0" applyFont="1" applyFill="1" applyBorder="1"/>
    <xf numFmtId="169" fontId="9" fillId="37" borderId="102" xfId="20" applyBorder="1"/>
    <xf numFmtId="193" fontId="96" fillId="0" borderId="120" xfId="0" applyNumberFormat="1" applyFont="1" applyBorder="1" applyAlignment="1">
      <alignment vertical="center" wrapText="1"/>
    </xf>
    <xf numFmtId="193" fontId="3" fillId="0" borderId="120" xfId="0" applyNumberFormat="1" applyFont="1" applyBorder="1" applyAlignment="1">
      <alignment vertical="center" wrapText="1"/>
    </xf>
    <xf numFmtId="193" fontId="96" fillId="0" borderId="120" xfId="0" applyNumberFormat="1" applyFont="1" applyBorder="1" applyAlignment="1" applyProtection="1">
      <alignment vertical="center" wrapText="1"/>
      <protection locked="0"/>
    </xf>
    <xf numFmtId="193" fontId="3" fillId="0" borderId="120" xfId="0" applyNumberFormat="1" applyFont="1" applyBorder="1" applyAlignment="1" applyProtection="1">
      <alignment vertical="center" wrapText="1"/>
      <protection locked="0"/>
    </xf>
    <xf numFmtId="193" fontId="3" fillId="0" borderId="89" xfId="0" applyNumberFormat="1" applyFont="1" applyBorder="1" applyAlignment="1" applyProtection="1">
      <alignment vertical="center" wrapText="1"/>
      <protection locked="0"/>
    </xf>
    <xf numFmtId="193" fontId="96" fillId="0" borderId="120" xfId="0" applyNumberFormat="1" applyFont="1" applyBorder="1" applyAlignment="1">
      <alignment horizontal="right" vertical="center" wrapText="1"/>
    </xf>
    <xf numFmtId="164" fontId="3" fillId="0" borderId="120" xfId="7" applyNumberFormat="1" applyFont="1" applyFill="1" applyBorder="1" applyAlignment="1" applyProtection="1">
      <alignment vertical="center" wrapText="1"/>
    </xf>
    <xf numFmtId="164" fontId="3" fillId="0" borderId="89" xfId="7" applyNumberFormat="1" applyFont="1" applyFill="1" applyBorder="1" applyAlignment="1" applyProtection="1">
      <alignment vertical="center" wrapText="1"/>
    </xf>
    <xf numFmtId="10" fontId="3" fillId="0" borderId="120" xfId="20962" applyNumberFormat="1" applyFont="1" applyFill="1" applyBorder="1" applyAlignment="1" applyProtection="1">
      <alignment horizontal="right" vertical="center" wrapText="1"/>
    </xf>
    <xf numFmtId="10" fontId="3" fillId="0" borderId="120" xfId="20962" applyNumberFormat="1" applyFont="1" applyBorder="1" applyAlignment="1" applyProtection="1">
      <alignment vertical="center" wrapText="1"/>
    </xf>
    <xf numFmtId="10" fontId="3" fillId="0" borderId="89" xfId="20962" applyNumberFormat="1" applyFont="1" applyBorder="1" applyAlignment="1" applyProtection="1">
      <alignment vertical="center" wrapText="1"/>
    </xf>
    <xf numFmtId="10" fontId="3" fillId="0" borderId="120" xfId="20962" applyNumberFormat="1" applyFont="1" applyFill="1" applyBorder="1" applyAlignment="1" applyProtection="1">
      <alignment horizontal="right" vertical="center" wrapText="1"/>
      <protection locked="0"/>
    </xf>
    <xf numFmtId="10" fontId="122" fillId="2" borderId="120" xfId="20962" applyNumberFormat="1" applyFont="1" applyFill="1" applyBorder="1" applyAlignment="1" applyProtection="1">
      <alignment vertical="center"/>
    </xf>
    <xf numFmtId="10" fontId="122" fillId="2" borderId="89" xfId="20962" applyNumberFormat="1" applyFont="1" applyFill="1" applyBorder="1" applyAlignment="1" applyProtection="1">
      <alignment vertical="center"/>
    </xf>
    <xf numFmtId="10" fontId="94" fillId="2" borderId="120" xfId="20962" applyNumberFormat="1" applyFont="1" applyFill="1" applyBorder="1" applyAlignment="1" applyProtection="1">
      <alignment vertical="center"/>
    </xf>
    <xf numFmtId="10" fontId="9" fillId="37" borderId="0" xfId="20962" applyNumberFormat="1" applyFont="1" applyFill="1" applyBorder="1" applyProtection="1"/>
    <xf numFmtId="10" fontId="9" fillId="37" borderId="102" xfId="20962" applyNumberFormat="1" applyFont="1" applyFill="1" applyBorder="1" applyProtection="1"/>
    <xf numFmtId="10" fontId="94" fillId="2" borderId="89" xfId="20962" applyNumberFormat="1" applyFont="1" applyFill="1" applyBorder="1" applyAlignment="1" applyProtection="1">
      <alignment vertical="center"/>
    </xf>
    <xf numFmtId="193" fontId="94" fillId="0" borderId="120" xfId="0" applyNumberFormat="1" applyFont="1" applyBorder="1" applyAlignment="1">
      <alignment vertical="center"/>
    </xf>
    <xf numFmtId="193" fontId="94" fillId="0" borderId="89" xfId="0" applyNumberFormat="1" applyFont="1" applyBorder="1" applyAlignment="1">
      <alignment vertical="center"/>
    </xf>
    <xf numFmtId="193" fontId="122" fillId="0" borderId="120" xfId="0" applyNumberFormat="1" applyFont="1" applyBorder="1" applyAlignment="1">
      <alignment vertical="center"/>
    </xf>
    <xf numFmtId="193" fontId="122" fillId="0" borderId="89" xfId="0" applyNumberFormat="1" applyFont="1" applyBorder="1" applyAlignment="1">
      <alignment vertical="center"/>
    </xf>
    <xf numFmtId="165" fontId="94" fillId="2" borderId="120" xfId="20962" applyNumberFormat="1" applyFont="1" applyFill="1" applyBorder="1" applyAlignment="1" applyProtection="1">
      <alignment vertical="center"/>
      <protection locked="0"/>
    </xf>
    <xf numFmtId="165" fontId="122" fillId="2" borderId="120" xfId="20962" applyNumberFormat="1" applyFont="1" applyFill="1" applyBorder="1" applyAlignment="1" applyProtection="1">
      <alignment vertical="center"/>
      <protection locked="0"/>
    </xf>
    <xf numFmtId="165" fontId="122" fillId="2" borderId="89" xfId="20962" applyNumberFormat="1" applyFont="1" applyFill="1" applyBorder="1" applyAlignment="1" applyProtection="1">
      <alignment vertical="center"/>
      <protection locked="0"/>
    </xf>
    <xf numFmtId="193" fontId="122" fillId="0" borderId="120" xfId="0" applyNumberFormat="1" applyFont="1" applyBorder="1" applyAlignment="1" applyProtection="1">
      <alignment vertical="center"/>
      <protection locked="0"/>
    </xf>
    <xf numFmtId="193" fontId="122" fillId="0" borderId="89" xfId="0" applyNumberFormat="1" applyFont="1" applyBorder="1" applyAlignment="1" applyProtection="1">
      <alignment vertical="center"/>
      <protection locked="0"/>
    </xf>
    <xf numFmtId="10" fontId="122" fillId="0" borderId="25" xfId="20962" applyNumberFormat="1" applyFont="1" applyFill="1" applyBorder="1" applyAlignment="1" applyProtection="1">
      <alignment vertical="center"/>
      <protection locked="0"/>
    </xf>
    <xf numFmtId="10" fontId="122" fillId="0" borderId="26" xfId="20962" applyNumberFormat="1" applyFont="1" applyFill="1" applyBorder="1" applyAlignment="1" applyProtection="1">
      <alignment vertical="center"/>
      <protection locked="0"/>
    </xf>
    <xf numFmtId="193" fontId="94" fillId="0" borderId="120" xfId="7" applyNumberFormat="1" applyFont="1" applyFill="1" applyBorder="1" applyAlignment="1" applyProtection="1">
      <alignment horizontal="right"/>
    </xf>
    <xf numFmtId="193" fontId="94" fillId="36" borderId="120" xfId="7" applyNumberFormat="1" applyFont="1" applyFill="1" applyBorder="1" applyAlignment="1" applyProtection="1">
      <alignment horizontal="right"/>
    </xf>
    <xf numFmtId="193" fontId="94" fillId="36" borderId="89" xfId="0" applyNumberFormat="1" applyFont="1" applyFill="1" applyBorder="1" applyAlignment="1">
      <alignment horizontal="right"/>
    </xf>
    <xf numFmtId="193" fontId="94" fillId="0" borderId="120" xfId="7" applyNumberFormat="1" applyFont="1" applyFill="1" applyBorder="1" applyAlignment="1" applyProtection="1">
      <alignment horizontal="right"/>
      <protection locked="0"/>
    </xf>
    <xf numFmtId="193" fontId="94" fillId="0" borderId="89" xfId="0" applyNumberFormat="1" applyFont="1" applyBorder="1" applyAlignment="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lignment horizontal="right"/>
    </xf>
    <xf numFmtId="193" fontId="123" fillId="0" borderId="120" xfId="0" applyNumberFormat="1" applyFont="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3" fillId="36" borderId="120"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4" fillId="0" borderId="120" xfId="0" applyNumberFormat="1" applyFont="1" applyBorder="1" applyAlignment="1">
      <alignment horizontal="center"/>
    </xf>
    <xf numFmtId="193" fontId="124" fillId="0" borderId="89" xfId="0" applyNumberFormat="1" applyFont="1" applyBorder="1" applyAlignment="1">
      <alignment horizontal="center"/>
    </xf>
    <xf numFmtId="193" fontId="123" fillId="0" borderId="89" xfId="0" applyNumberFormat="1" applyFont="1" applyBorder="1" applyAlignment="1" applyProtection="1">
      <alignment horizontal="right"/>
      <protection locked="0"/>
    </xf>
    <xf numFmtId="164" fontId="94" fillId="36" borderId="120" xfId="7" applyNumberFormat="1" applyFont="1" applyFill="1" applyBorder="1" applyAlignment="1" applyProtection="1">
      <alignment horizontal="right"/>
    </xf>
    <xf numFmtId="164" fontId="94" fillId="36" borderId="89" xfId="7" applyNumberFormat="1" applyFont="1" applyFill="1" applyBorder="1" applyAlignment="1" applyProtection="1">
      <alignment horizontal="right"/>
    </xf>
    <xf numFmtId="164" fontId="123" fillId="36" borderId="120" xfId="7" applyNumberFormat="1" applyFont="1" applyFill="1" applyBorder="1" applyAlignment="1" applyProtection="1">
      <alignment horizontal="right"/>
    </xf>
    <xf numFmtId="193" fontId="123"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93" fontId="94" fillId="0" borderId="120" xfId="0" applyNumberFormat="1" applyFont="1" applyBorder="1" applyAlignment="1">
      <alignment horizontal="right"/>
    </xf>
    <xf numFmtId="193" fontId="94" fillId="36" borderId="120"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3" fontId="103" fillId="36" borderId="120" xfId="0" applyNumberFormat="1" applyFont="1" applyFill="1" applyBorder="1" applyAlignment="1">
      <alignment vertical="center" wrapText="1"/>
    </xf>
    <xf numFmtId="3" fontId="103" fillId="36" borderId="122" xfId="0" applyNumberFormat="1" applyFont="1" applyFill="1" applyBorder="1" applyAlignment="1">
      <alignment vertical="center" wrapText="1"/>
    </xf>
    <xf numFmtId="3" fontId="103" fillId="0" borderId="120" xfId="0" applyNumberFormat="1" applyFont="1" applyBorder="1" applyAlignment="1">
      <alignment vertical="center" wrapText="1"/>
    </xf>
    <xf numFmtId="3" fontId="103" fillId="0" borderId="122" xfId="0" applyNumberFormat="1" applyFont="1" applyBorder="1" applyAlignment="1">
      <alignment vertical="center" wrapText="1"/>
    </xf>
    <xf numFmtId="0" fontId="2" fillId="0" borderId="122" xfId="0" applyFont="1" applyBorder="1" applyAlignment="1">
      <alignment wrapText="1"/>
    </xf>
    <xf numFmtId="0" fontId="84" fillId="0" borderId="92" xfId="0" applyFont="1" applyBorder="1"/>
    <xf numFmtId="0" fontId="2" fillId="0" borderId="94" xfId="0" applyFont="1" applyBorder="1" applyAlignment="1">
      <alignment vertical="center"/>
    </xf>
    <xf numFmtId="0" fontId="2" fillId="0" borderId="112" xfId="0" applyFont="1" applyBorder="1" applyAlignment="1">
      <alignment wrapText="1"/>
    </xf>
    <xf numFmtId="0" fontId="84" fillId="0" borderId="127" xfId="0" applyFont="1" applyBorder="1"/>
    <xf numFmtId="9" fontId="125" fillId="0" borderId="92" xfId="0" applyNumberFormat="1" applyFont="1" applyBorder="1"/>
    <xf numFmtId="9" fontId="125" fillId="0" borderId="127" xfId="0" applyNumberFormat="1" applyFont="1" applyBorder="1"/>
    <xf numFmtId="167" fontId="3" fillId="0" borderId="120" xfId="0" applyNumberFormat="1" applyFont="1" applyBorder="1" applyAlignment="1">
      <alignment horizontal="center" vertical="center"/>
    </xf>
    <xf numFmtId="167" fontId="3" fillId="0" borderId="89" xfId="0" applyNumberFormat="1" applyFont="1" applyBorder="1" applyAlignment="1">
      <alignment horizontal="center" vertical="center"/>
    </xf>
    <xf numFmtId="167" fontId="99" fillId="0" borderId="120"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93" fontId="0" fillId="36" borderId="20" xfId="0" applyNumberFormat="1" applyFill="1" applyBorder="1" applyAlignment="1">
      <alignment horizontal="center" vertical="center"/>
    </xf>
    <xf numFmtId="193" fontId="0" fillId="0" borderId="89" xfId="0" applyNumberFormat="1" applyBorder="1"/>
    <xf numFmtId="193" fontId="0" fillId="0" borderId="89" xfId="0" applyNumberFormat="1" applyBorder="1" applyAlignment="1">
      <alignment wrapText="1"/>
    </xf>
    <xf numFmtId="193" fontId="0" fillId="36" borderId="89"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96" fillId="36" borderId="89" xfId="2" applyNumberFormat="1" applyFont="1" applyFill="1" applyBorder="1" applyAlignment="1" applyProtection="1">
      <alignment vertical="top"/>
    </xf>
    <xf numFmtId="193" fontId="96" fillId="3" borderId="89" xfId="2" applyNumberFormat="1" applyFont="1" applyFill="1" applyBorder="1" applyAlignment="1" applyProtection="1">
      <alignment vertical="top"/>
      <protection locked="0"/>
    </xf>
    <xf numFmtId="193" fontId="96" fillId="36" borderId="89" xfId="2" applyNumberFormat="1" applyFont="1" applyFill="1" applyBorder="1" applyAlignment="1" applyProtection="1">
      <alignment vertical="top" wrapText="1"/>
    </xf>
    <xf numFmtId="193" fontId="96" fillId="3" borderId="89" xfId="2" applyNumberFormat="1" applyFont="1" applyFill="1" applyBorder="1" applyAlignment="1" applyProtection="1">
      <alignment vertical="top" wrapText="1"/>
      <protection locked="0"/>
    </xf>
    <xf numFmtId="193" fontId="96" fillId="36" borderId="89"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0" fontId="96" fillId="0" borderId="120" xfId="20962"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0" fontId="3" fillId="0"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left" vertical="center" wrapText="1"/>
    </xf>
    <xf numFmtId="43" fontId="4" fillId="36" borderId="89" xfId="7" applyFont="1" applyFill="1" applyBorder="1" applyAlignment="1">
      <alignment horizontal="right" vertical="center" wrapText="1"/>
    </xf>
    <xf numFmtId="10" fontId="100" fillId="0" borderId="120" xfId="20962" applyNumberFormat="1" applyFont="1" applyFill="1" applyBorder="1" applyAlignment="1">
      <alignment horizontal="left" vertical="center" wrapText="1"/>
    </xf>
    <xf numFmtId="164" fontId="100" fillId="0" borderId="89" xfId="7" applyNumberFormat="1" applyFont="1" applyFill="1" applyBorder="1" applyAlignment="1">
      <alignment horizontal="right" vertical="center" wrapText="1"/>
    </xf>
    <xf numFmtId="10" fontId="4" fillId="36" borderId="120" xfId="20962" applyNumberFormat="1" applyFont="1" applyFill="1" applyBorder="1" applyAlignment="1">
      <alignment horizontal="left" vertical="center" wrapText="1"/>
    </xf>
    <xf numFmtId="10" fontId="4" fillId="36" borderId="120" xfId="0" applyNumberFormat="1" applyFont="1" applyFill="1" applyBorder="1" applyAlignment="1">
      <alignment horizontal="center" vertical="center" wrapText="1"/>
    </xf>
    <xf numFmtId="43" fontId="4" fillId="36" borderId="89" xfId="7" applyFont="1" applyFill="1" applyBorder="1" applyAlignment="1">
      <alignment horizontal="center" vertical="center" wrapText="1"/>
    </xf>
    <xf numFmtId="164" fontId="96" fillId="0" borderId="26" xfId="7" applyNumberFormat="1" applyFont="1" applyFill="1" applyBorder="1" applyAlignment="1" applyProtection="1">
      <alignment horizontal="right" vertical="center"/>
    </xf>
    <xf numFmtId="164" fontId="125" fillId="0" borderId="34" xfId="7" applyNumberFormat="1" applyFont="1" applyBorder="1" applyAlignment="1">
      <alignment vertical="center"/>
    </xf>
    <xf numFmtId="164" fontId="125" fillId="0" borderId="13" xfId="7" applyNumberFormat="1" applyFont="1" applyBorder="1" applyAlignment="1">
      <alignment vertical="center"/>
    </xf>
    <xf numFmtId="164" fontId="126" fillId="0" borderId="13" xfId="7" applyNumberFormat="1" applyFont="1" applyBorder="1" applyAlignment="1">
      <alignment vertical="center"/>
    </xf>
    <xf numFmtId="164" fontId="125" fillId="36" borderId="13" xfId="7" applyNumberFormat="1" applyFont="1" applyFill="1" applyBorder="1" applyAlignment="1">
      <alignment vertical="center"/>
    </xf>
    <xf numFmtId="164" fontId="125" fillId="0" borderId="14" xfId="7" applyNumberFormat="1" applyFont="1" applyBorder="1" applyAlignment="1">
      <alignment vertical="center"/>
    </xf>
    <xf numFmtId="193" fontId="127" fillId="36" borderId="16" xfId="0" applyNumberFormat="1" applyFont="1" applyFill="1" applyBorder="1" applyAlignment="1">
      <alignment vertical="center"/>
    </xf>
    <xf numFmtId="164" fontId="125" fillId="0" borderId="17" xfId="7" applyNumberFormat="1" applyFont="1" applyBorder="1" applyAlignment="1">
      <alignment vertical="center"/>
    </xf>
    <xf numFmtId="164" fontId="126" fillId="0" borderId="14" xfId="7" applyNumberFormat="1" applyFont="1" applyBorder="1" applyAlignment="1">
      <alignment vertical="center"/>
    </xf>
    <xf numFmtId="193" fontId="127" fillId="36" borderId="62" xfId="0" applyNumberFormat="1" applyFont="1" applyFill="1" applyBorder="1" applyAlignment="1">
      <alignment vertical="center"/>
    </xf>
    <xf numFmtId="0" fontId="85" fillId="0" borderId="120" xfId="0" applyFont="1" applyBorder="1"/>
    <xf numFmtId="0" fontId="2" fillId="0" borderId="92" xfId="0" applyFont="1" applyBorder="1"/>
    <xf numFmtId="164" fontId="3" fillId="0" borderId="120" xfId="7" applyNumberFormat="1" applyFont="1" applyBorder="1" applyAlignment="1"/>
    <xf numFmtId="164" fontId="3" fillId="0" borderId="122" xfId="7" applyNumberFormat="1" applyFont="1" applyBorder="1" applyAlignment="1"/>
    <xf numFmtId="167" fontId="3" fillId="0" borderId="89" xfId="0" applyNumberFormat="1" applyFont="1" applyBorder="1"/>
    <xf numFmtId="164" fontId="3" fillId="36" borderId="26" xfId="7" applyNumberFormat="1" applyFont="1" applyFill="1" applyBorder="1"/>
    <xf numFmtId="164" fontId="3" fillId="0" borderId="21" xfId="7" applyNumberFormat="1" applyFont="1" applyBorder="1" applyAlignment="1"/>
    <xf numFmtId="164" fontId="3" fillId="0" borderId="89" xfId="7" applyNumberFormat="1" applyFont="1" applyBorder="1" applyAlignment="1"/>
    <xf numFmtId="164" fontId="3" fillId="0" borderId="92" xfId="7" applyNumberFormat="1" applyFont="1" applyBorder="1" applyAlignment="1">
      <alignment wrapText="1"/>
    </xf>
    <xf numFmtId="164" fontId="3" fillId="0" borderId="92" xfId="7" applyNumberFormat="1" applyFont="1" applyBorder="1" applyAlignment="1"/>
    <xf numFmtId="164" fontId="3" fillId="36" borderId="56" xfId="7" applyNumberFormat="1" applyFont="1" applyFill="1" applyBorder="1" applyAlignment="1"/>
    <xf numFmtId="164" fontId="3" fillId="36" borderId="24" xfId="7" applyNumberFormat="1" applyFont="1" applyFill="1" applyBorder="1"/>
    <xf numFmtId="164" fontId="3" fillId="36" borderId="25" xfId="7" applyNumberFormat="1" applyFont="1" applyFill="1" applyBorder="1"/>
    <xf numFmtId="164" fontId="3" fillId="36" borderId="57" xfId="7" applyNumberFormat="1" applyFont="1" applyFill="1" applyBorder="1"/>
    <xf numFmtId="164" fontId="3" fillId="0" borderId="120" xfId="7" applyNumberFormat="1" applyFont="1" applyBorder="1"/>
    <xf numFmtId="164" fontId="3" fillId="0" borderId="120" xfId="7" applyNumberFormat="1" applyFont="1" applyFill="1" applyBorder="1"/>
    <xf numFmtId="164" fontId="3" fillId="0" borderId="122" xfId="7" applyNumberFormat="1" applyFont="1" applyBorder="1"/>
    <xf numFmtId="9" fontId="3" fillId="0" borderId="89" xfId="20962" applyFont="1" applyBorder="1"/>
    <xf numFmtId="164" fontId="3" fillId="0" borderId="122" xfId="7" applyNumberFormat="1" applyFont="1" applyFill="1" applyBorder="1"/>
    <xf numFmtId="164" fontId="9" fillId="37" borderId="0" xfId="7" applyNumberFormat="1" applyFont="1" applyFill="1" applyBorder="1"/>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64" fontId="3" fillId="3" borderId="123" xfId="7" applyNumberFormat="1" applyFont="1" applyFill="1" applyBorder="1" applyAlignment="1">
      <alignment vertical="center"/>
    </xf>
    <xf numFmtId="164" fontId="3" fillId="3" borderId="92"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22" xfId="7" applyNumberFormat="1" applyFont="1" applyFill="1" applyBorder="1" applyAlignment="1">
      <alignment vertical="center"/>
    </xf>
    <xf numFmtId="164" fontId="3" fillId="0" borderId="89" xfId="7" applyNumberFormat="1" applyFont="1" applyFill="1" applyBorder="1" applyAlignment="1">
      <alignment vertical="center"/>
    </xf>
    <xf numFmtId="0" fontId="3" fillId="3" borderId="123" xfId="0"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2" xfId="7" applyNumberFormat="1" applyFont="1" applyFill="1" applyBorder="1" applyAlignment="1">
      <alignment vertical="center"/>
    </xf>
    <xf numFmtId="164" fontId="3" fillId="0" borderId="97" xfId="7" applyNumberFormat="1" applyFont="1" applyFill="1" applyBorder="1" applyAlignment="1">
      <alignment vertical="center"/>
    </xf>
    <xf numFmtId="165" fontId="3" fillId="0" borderId="100" xfId="20962" applyNumberFormat="1" applyFont="1" applyFill="1" applyBorder="1" applyAlignment="1">
      <alignment vertical="center"/>
    </xf>
    <xf numFmtId="9" fontId="3" fillId="0" borderId="100" xfId="20962" applyFont="1" applyFill="1" applyBorder="1" applyAlignment="1">
      <alignment vertical="center"/>
    </xf>
    <xf numFmtId="9" fontId="3" fillId="0" borderId="101" xfId="20962" applyFont="1" applyFill="1" applyBorder="1" applyAlignment="1">
      <alignment vertical="center"/>
    </xf>
    <xf numFmtId="193" fontId="94" fillId="36" borderId="120" xfId="5" applyNumberFormat="1" applyFont="1" applyFill="1" applyBorder="1" applyProtection="1">
      <protection locked="0"/>
    </xf>
    <xf numFmtId="0" fontId="94" fillId="3" borderId="120" xfId="5" applyFont="1" applyFill="1" applyBorder="1" applyProtection="1">
      <protection locked="0"/>
    </xf>
    <xf numFmtId="164" fontId="94" fillId="36" borderId="120" xfId="7" applyNumberFormat="1" applyFont="1" applyFill="1" applyBorder="1" applyProtection="1">
      <protection locked="0"/>
    </xf>
    <xf numFmtId="164" fontId="94" fillId="36" borderId="89" xfId="7" applyNumberFormat="1" applyFont="1" applyFill="1" applyBorder="1" applyProtection="1">
      <protection locked="0"/>
    </xf>
    <xf numFmtId="193" fontId="94" fillId="3" borderId="120" xfId="5" applyNumberFormat="1" applyFont="1" applyFill="1" applyBorder="1" applyProtection="1">
      <protection locked="0"/>
    </xf>
    <xf numFmtId="165" fontId="94" fillId="3" borderId="120" xfId="8" applyNumberFormat="1" applyFont="1" applyFill="1" applyBorder="1" applyAlignment="1" applyProtection="1">
      <alignment horizontal="right" wrapText="1"/>
      <protection locked="0"/>
    </xf>
    <xf numFmtId="164" fontId="94" fillId="3" borderId="120" xfId="7" applyNumberFormat="1" applyFont="1" applyFill="1" applyBorder="1" applyProtection="1">
      <protection locked="0"/>
    </xf>
    <xf numFmtId="165" fontId="94" fillId="4" borderId="120" xfId="8" applyNumberFormat="1" applyFont="1" applyFill="1" applyBorder="1" applyAlignment="1" applyProtection="1">
      <alignment horizontal="right" wrapText="1"/>
      <protection locked="0"/>
    </xf>
    <xf numFmtId="193" fontId="94" fillId="0" borderId="120" xfId="1" applyNumberFormat="1" applyFont="1" applyFill="1" applyBorder="1" applyProtection="1">
      <protection locked="0"/>
    </xf>
    <xf numFmtId="164" fontId="128" fillId="36" borderId="25" xfId="7" applyNumberFormat="1" applyFont="1" applyFill="1" applyBorder="1" applyAlignment="1" applyProtection="1">
      <protection locked="0"/>
    </xf>
    <xf numFmtId="164" fontId="94" fillId="3" borderId="25" xfId="7" applyNumberFormat="1" applyFont="1" applyFill="1" applyBorder="1" applyProtection="1">
      <protection locked="0"/>
    </xf>
    <xf numFmtId="164" fontId="128" fillId="36" borderId="26" xfId="7" applyNumberFormat="1" applyFont="1" applyFill="1" applyBorder="1" applyAlignment="1" applyProtection="1">
      <protection locked="0"/>
    </xf>
    <xf numFmtId="164" fontId="105" fillId="0" borderId="120" xfId="948" applyNumberFormat="1" applyFont="1" applyFill="1" applyBorder="1" applyAlignment="1" applyProtection="1">
      <alignment horizontal="right" vertical="center"/>
      <protection locked="0"/>
    </xf>
    <xf numFmtId="164" fontId="105" fillId="0" borderId="120" xfId="7" applyNumberFormat="1" applyFont="1" applyFill="1" applyBorder="1" applyAlignment="1" applyProtection="1">
      <alignment horizontal="right" vertical="center"/>
      <protection locked="0"/>
    </xf>
    <xf numFmtId="164" fontId="105" fillId="78" borderId="120" xfId="948" applyNumberFormat="1" applyFont="1" applyFill="1" applyBorder="1" applyAlignment="1" applyProtection="1">
      <alignment horizontal="right" vertical="center"/>
    </xf>
    <xf numFmtId="164" fontId="45" fillId="77" borderId="124" xfId="948" applyNumberFormat="1" applyFont="1" applyFill="1" applyBorder="1" applyAlignment="1" applyProtection="1">
      <alignment horizontal="right" vertical="center"/>
      <protection locked="0"/>
    </xf>
    <xf numFmtId="164" fontId="104" fillId="77" borderId="124" xfId="948" applyNumberFormat="1" applyFont="1" applyFill="1" applyBorder="1" applyAlignment="1" applyProtection="1">
      <alignment horizontal="right" vertical="center"/>
      <protection locked="0"/>
    </xf>
    <xf numFmtId="164" fontId="105" fillId="3" borderId="120" xfId="7" applyNumberFormat="1" applyFont="1" applyFill="1" applyBorder="1" applyAlignment="1" applyProtection="1">
      <alignment horizontal="right" vertical="center"/>
      <protection locked="0"/>
    </xf>
    <xf numFmtId="10" fontId="105" fillId="0" borderId="120" xfId="20626" applyNumberFormat="1" applyFont="1" applyFill="1" applyBorder="1" applyAlignment="1" applyProtection="1">
      <alignment horizontal="right" vertical="center"/>
      <protection locked="0"/>
    </xf>
    <xf numFmtId="169" fontId="9" fillId="37" borderId="120" xfId="20" applyBorder="1"/>
    <xf numFmtId="164" fontId="3" fillId="0" borderId="120" xfId="7" applyNumberFormat="1" applyFont="1" applyBorder="1" applyAlignment="1">
      <alignment vertical="center"/>
    </xf>
    <xf numFmtId="164" fontId="116" fillId="0" borderId="120" xfId="7" applyNumberFormat="1" applyFont="1" applyBorder="1"/>
    <xf numFmtId="164" fontId="113" fillId="0" borderId="120" xfId="7" applyNumberFormat="1" applyFont="1" applyBorder="1"/>
    <xf numFmtId="164" fontId="113" fillId="0" borderId="120" xfId="7" applyNumberFormat="1" applyFont="1" applyFill="1" applyBorder="1"/>
    <xf numFmtId="164" fontId="112" fillId="36" borderId="120" xfId="7" applyNumberFormat="1" applyFont="1" applyFill="1" applyBorder="1"/>
    <xf numFmtId="164" fontId="113" fillId="0" borderId="120" xfId="7" applyNumberFormat="1" applyFont="1" applyBorder="1" applyAlignment="1">
      <alignment horizontal="left" indent="1"/>
    </xf>
    <xf numFmtId="0" fontId="113" fillId="80" borderId="120" xfId="0" applyFont="1" applyFill="1" applyBorder="1"/>
    <xf numFmtId="164" fontId="116" fillId="0" borderId="7" xfId="7" applyNumberFormat="1" applyFont="1" applyBorder="1"/>
    <xf numFmtId="164" fontId="113" fillId="0" borderId="120" xfId="7" applyNumberFormat="1" applyFont="1" applyBorder="1" applyAlignment="1">
      <alignment horizontal="left" indent="2"/>
    </xf>
    <xf numFmtId="164" fontId="113" fillId="0" borderId="120" xfId="7" applyNumberFormat="1" applyFont="1" applyFill="1" applyBorder="1" applyAlignment="1">
      <alignment horizontal="left" indent="3"/>
    </xf>
    <xf numFmtId="164" fontId="113" fillId="0" borderId="120" xfId="7" applyNumberFormat="1" applyFont="1" applyFill="1" applyBorder="1" applyAlignment="1">
      <alignment horizontal="left" indent="1"/>
    </xf>
    <xf numFmtId="0" fontId="113" fillId="81" borderId="120" xfId="0" applyFont="1" applyFill="1" applyBorder="1"/>
    <xf numFmtId="164" fontId="113" fillId="0" borderId="120" xfId="7" applyNumberFormat="1" applyFont="1" applyFill="1" applyBorder="1" applyAlignment="1">
      <alignment horizontal="left" vertical="top" wrapText="1" indent="2"/>
    </xf>
    <xf numFmtId="164" fontId="113" fillId="0" borderId="120" xfId="7" applyNumberFormat="1" applyFont="1" applyFill="1" applyBorder="1" applyAlignment="1">
      <alignment horizontal="left" wrapText="1" indent="3"/>
    </xf>
    <xf numFmtId="164" fontId="113" fillId="0" borderId="120" xfId="7" applyNumberFormat="1" applyFont="1" applyFill="1" applyBorder="1" applyAlignment="1">
      <alignment horizontal="left" wrapText="1" indent="2"/>
    </xf>
    <xf numFmtId="164" fontId="113" fillId="0" borderId="120" xfId="7" applyNumberFormat="1" applyFont="1" applyFill="1" applyBorder="1" applyAlignment="1">
      <alignment horizontal="left" wrapText="1" indent="1"/>
    </xf>
    <xf numFmtId="164" fontId="94" fillId="0" borderId="120" xfId="0" applyNumberFormat="1" applyFont="1" applyBorder="1" applyAlignment="1">
      <alignment horizontal="left" vertical="center" wrapText="1"/>
    </xf>
    <xf numFmtId="164" fontId="125" fillId="0" borderId="120" xfId="7" applyNumberFormat="1" applyFont="1" applyFill="1" applyBorder="1"/>
    <xf numFmtId="164" fontId="125" fillId="0" borderId="120" xfId="0" applyNumberFormat="1" applyFont="1" applyBorder="1"/>
    <xf numFmtId="164" fontId="112" fillId="0" borderId="120" xfId="7" applyNumberFormat="1" applyFont="1" applyFill="1" applyBorder="1" applyAlignment="1">
      <alignment horizontal="left" vertical="center" wrapText="1"/>
    </xf>
    <xf numFmtId="164" fontId="113" fillId="0" borderId="120" xfId="7" applyNumberFormat="1" applyFont="1" applyBorder="1" applyAlignment="1">
      <alignment horizontal="center" vertical="center" wrapText="1"/>
    </xf>
    <xf numFmtId="164" fontId="113" fillId="0" borderId="120" xfId="7" applyNumberFormat="1" applyFont="1" applyBorder="1" applyAlignment="1">
      <alignment horizontal="center" vertical="center"/>
    </xf>
    <xf numFmtId="164" fontId="115" fillId="0" borderId="120" xfId="7" applyNumberFormat="1" applyFont="1" applyFill="1" applyBorder="1" applyAlignment="1">
      <alignment horizontal="left" vertical="center" wrapText="1"/>
    </xf>
    <xf numFmtId="164" fontId="116" fillId="0" borderId="120" xfId="7" applyNumberFormat="1" applyFont="1" applyBorder="1" applyAlignment="1">
      <alignment horizontal="center" vertical="center"/>
    </xf>
    <xf numFmtId="164" fontId="116" fillId="0" borderId="120" xfId="7" applyNumberFormat="1" applyFont="1" applyFill="1" applyBorder="1"/>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Border="1" applyAlignment="1">
      <alignment horizontal="center" vertical="center" wrapText="1"/>
    </xf>
    <xf numFmtId="0" fontId="84" fillId="0" borderId="88" xfId="0" applyFont="1" applyBorder="1" applyAlignment="1">
      <alignment horizontal="center" vertical="center" wrapText="1"/>
    </xf>
    <xf numFmtId="0" fontId="45" fillId="0" borderId="88" xfId="11" applyFont="1" applyBorder="1" applyAlignment="1">
      <alignment horizontal="center" vertical="center" wrapText="1"/>
    </xf>
    <xf numFmtId="0" fontId="45" fillId="0" borderId="89" xfId="11" applyFont="1" applyBorder="1" applyAlignment="1">
      <alignment horizontal="center" vertical="center" wrapText="1"/>
    </xf>
    <xf numFmtId="0" fontId="45" fillId="0" borderId="7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Border="1" applyAlignment="1">
      <alignment horizontal="center" vertical="center" wrapText="1"/>
    </xf>
    <xf numFmtId="0" fontId="3" fillId="0" borderId="71" xfId="0" applyFont="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0" xfId="0" applyFont="1" applyBorder="1" applyAlignment="1">
      <alignment horizontal="left" vertical="center" wrapText="1"/>
    </xf>
    <xf numFmtId="0" fontId="115" fillId="0" borderId="111" xfId="0" applyFont="1" applyBorder="1" applyAlignment="1">
      <alignment horizontal="left" vertical="center" wrapText="1"/>
    </xf>
    <xf numFmtId="0" fontId="115" fillId="0" borderId="115"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8" xfId="0" applyFont="1" applyBorder="1" applyAlignment="1">
      <alignment horizontal="left" vertical="center" wrapText="1"/>
    </xf>
    <xf numFmtId="0" fontId="115" fillId="0" borderId="119" xfId="0" applyFont="1" applyBorder="1" applyAlignment="1">
      <alignment horizontal="left" vertical="center" wrapText="1"/>
    </xf>
    <xf numFmtId="0" fontId="116" fillId="0" borderId="112" xfId="0" applyFont="1" applyBorder="1" applyAlignment="1">
      <alignment horizontal="center" vertical="center" wrapText="1"/>
    </xf>
    <xf numFmtId="0" fontId="116" fillId="0" borderId="113" xfId="0" applyFont="1" applyBorder="1" applyAlignment="1">
      <alignment horizontal="center" vertical="center" wrapText="1"/>
    </xf>
    <xf numFmtId="0" fontId="116" fillId="0" borderId="114" xfId="0" applyFont="1" applyBorder="1" applyAlignment="1">
      <alignment horizontal="center" vertical="center" wrapText="1"/>
    </xf>
    <xf numFmtId="0" fontId="116" fillId="0" borderId="93"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83"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0" xfId="0" applyFont="1" applyBorder="1" applyAlignment="1">
      <alignment horizontal="center" vertical="center" wrapText="1"/>
    </xf>
    <xf numFmtId="0" fontId="120" fillId="0" borderId="120" xfId="0" applyFont="1" applyBorder="1" applyAlignment="1">
      <alignment horizontal="center" vertical="center"/>
    </xf>
    <xf numFmtId="0" fontId="120" fillId="0" borderId="112" xfId="0" applyFont="1" applyBorder="1" applyAlignment="1">
      <alignment horizontal="center" vertical="center"/>
    </xf>
    <xf numFmtId="0" fontId="120" fillId="0" borderId="114" xfId="0" applyFont="1" applyBorder="1" applyAlignment="1">
      <alignment horizontal="center" vertical="center"/>
    </xf>
    <xf numFmtId="0" fontId="120" fillId="0" borderId="93" xfId="0" applyFont="1" applyBorder="1" applyAlignment="1">
      <alignment horizontal="center" vertical="center"/>
    </xf>
    <xf numFmtId="0" fontId="120" fillId="0" borderId="83" xfId="0" applyFont="1" applyBorder="1" applyAlignment="1">
      <alignment horizontal="center" vertical="center"/>
    </xf>
    <xf numFmtId="0" fontId="116" fillId="0" borderId="120" xfId="0" applyFont="1" applyBorder="1" applyAlignment="1">
      <alignment horizontal="center" vertical="center" wrapText="1"/>
    </xf>
    <xf numFmtId="0" fontId="116" fillId="0" borderId="78" xfId="0" applyFont="1" applyBorder="1" applyAlignment="1">
      <alignment horizontal="center" vertical="center" wrapText="1"/>
    </xf>
    <xf numFmtId="0" fontId="116" fillId="0" borderId="76" xfId="0" applyFont="1" applyBorder="1" applyAlignment="1">
      <alignment horizontal="center" vertical="center" wrapText="1"/>
    </xf>
    <xf numFmtId="0" fontId="113" fillId="0" borderId="122" xfId="0" applyFont="1" applyBorder="1" applyAlignment="1">
      <alignment horizontal="center" vertical="center" wrapText="1"/>
    </xf>
    <xf numFmtId="0" fontId="113" fillId="0" borderId="123" xfId="0" applyFont="1" applyBorder="1" applyAlignment="1">
      <alignment horizontal="center" vertical="center" wrapText="1"/>
    </xf>
    <xf numFmtId="0" fontId="113" fillId="0" borderId="124"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4" xfId="0" applyFont="1" applyBorder="1" applyAlignment="1">
      <alignment horizontal="center" vertical="center" wrapText="1"/>
    </xf>
    <xf numFmtId="0" fontId="113" fillId="0" borderId="78" xfId="0" applyFont="1" applyBorder="1" applyAlignment="1">
      <alignment horizontal="center" vertical="center" wrapText="1"/>
    </xf>
    <xf numFmtId="0" fontId="113" fillId="0" borderId="0" xfId="0" applyFont="1" applyAlignment="1">
      <alignment horizontal="center" vertical="center" wrapText="1"/>
    </xf>
    <xf numFmtId="0" fontId="113" fillId="0" borderId="76" xfId="0" applyFont="1" applyBorder="1" applyAlignment="1">
      <alignment horizontal="center" vertical="center" wrapText="1"/>
    </xf>
    <xf numFmtId="0" fontId="113" fillId="0" borderId="83" xfId="0" applyFont="1" applyBorder="1" applyAlignment="1">
      <alignment horizontal="center" vertical="center" wrapText="1"/>
    </xf>
    <xf numFmtId="0" fontId="116" fillId="0" borderId="112" xfId="0" applyFont="1" applyBorder="1" applyAlignment="1">
      <alignment horizontal="center" vertical="top" wrapText="1"/>
    </xf>
    <xf numFmtId="0" fontId="116" fillId="0" borderId="114" xfId="0" applyFont="1" applyBorder="1" applyAlignment="1">
      <alignment horizontal="center" vertical="top" wrapText="1"/>
    </xf>
    <xf numFmtId="0" fontId="116" fillId="0" borderId="78" xfId="0" applyFont="1" applyBorder="1" applyAlignment="1">
      <alignment horizontal="center" vertical="top" wrapText="1"/>
    </xf>
    <xf numFmtId="0" fontId="116" fillId="0" borderId="76" xfId="0" applyFont="1" applyBorder="1" applyAlignment="1">
      <alignment horizontal="center" vertical="top" wrapText="1"/>
    </xf>
    <xf numFmtId="0" fontId="116" fillId="0" borderId="93" xfId="0" applyFont="1" applyBorder="1" applyAlignment="1">
      <alignment horizontal="center" vertical="top" wrapText="1"/>
    </xf>
    <xf numFmtId="0" fontId="116" fillId="0" borderId="83" xfId="0" applyFont="1" applyBorder="1" applyAlignment="1">
      <alignment horizontal="center" vertical="top" wrapText="1"/>
    </xf>
    <xf numFmtId="0" fontId="113" fillId="0" borderId="0" xfId="0" applyFont="1" applyAlignment="1">
      <alignment horizontal="center" vertical="center"/>
    </xf>
    <xf numFmtId="0" fontId="113" fillId="0" borderId="76" xfId="0" applyFont="1" applyBorder="1" applyAlignment="1">
      <alignment horizontal="center" vertical="center"/>
    </xf>
    <xf numFmtId="0" fontId="113" fillId="0" borderId="78" xfId="0" applyFont="1" applyBorder="1" applyAlignment="1">
      <alignment horizontal="center" vertical="center"/>
    </xf>
    <xf numFmtId="0" fontId="113" fillId="0" borderId="122" xfId="0" applyFont="1" applyBorder="1" applyAlignment="1">
      <alignment horizontal="center" vertical="center"/>
    </xf>
    <xf numFmtId="0" fontId="113" fillId="0" borderId="123" xfId="0" applyFont="1" applyBorder="1" applyAlignment="1">
      <alignment horizontal="center" vertical="center"/>
    </xf>
    <xf numFmtId="0" fontId="113" fillId="0" borderId="124" xfId="0" applyFont="1" applyBorder="1" applyAlignment="1">
      <alignment horizontal="center" vertical="center"/>
    </xf>
    <xf numFmtId="0" fontId="113" fillId="0" borderId="112" xfId="0" applyFont="1" applyBorder="1" applyAlignment="1">
      <alignment horizontal="center" vertical="top" wrapText="1"/>
    </xf>
    <xf numFmtId="0" fontId="113" fillId="0" borderId="113" xfId="0" applyFont="1" applyBorder="1" applyAlignment="1">
      <alignment horizontal="center" vertical="top" wrapText="1"/>
    </xf>
    <xf numFmtId="0" fontId="113" fillId="0" borderId="114" xfId="0" applyFont="1" applyBorder="1" applyAlignment="1">
      <alignment horizontal="center" vertical="top" wrapText="1"/>
    </xf>
    <xf numFmtId="0" fontId="113" fillId="0" borderId="123" xfId="0" applyFont="1" applyBorder="1" applyAlignment="1">
      <alignment horizontal="center" vertical="top" wrapText="1"/>
    </xf>
    <xf numFmtId="0" fontId="113" fillId="0" borderId="124" xfId="0" applyFont="1" applyBorder="1" applyAlignment="1">
      <alignment horizontal="center" vertical="top" wrapText="1"/>
    </xf>
    <xf numFmtId="0" fontId="113" fillId="0" borderId="121" xfId="0" applyFont="1" applyBorder="1" applyAlignment="1">
      <alignment horizontal="center" vertical="top" wrapText="1"/>
    </xf>
    <xf numFmtId="0" fontId="113" fillId="0" borderId="7" xfId="0" applyFont="1" applyBorder="1" applyAlignment="1">
      <alignment horizontal="center" vertical="top" wrapText="1"/>
    </xf>
    <xf numFmtId="0" fontId="115" fillId="0" borderId="125" xfId="0" applyFont="1" applyBorder="1" applyAlignment="1">
      <alignment horizontal="left" vertical="top" wrapText="1"/>
    </xf>
    <xf numFmtId="0" fontId="115" fillId="0" borderId="126" xfId="0" applyFont="1" applyBorder="1" applyAlignment="1">
      <alignment horizontal="left" vertical="top"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workbookViewId="0">
      <selection activeCell="B15" sqref="B15"/>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37"/>
      <c r="B1" s="168" t="s">
        <v>344</v>
      </c>
      <c r="C1" s="137"/>
    </row>
    <row r="2" spans="1:3">
      <c r="A2" s="169">
        <v>1</v>
      </c>
      <c r="B2" s="285" t="s">
        <v>345</v>
      </c>
      <c r="C2" s="530" t="s">
        <v>718</v>
      </c>
    </row>
    <row r="3" spans="1:3">
      <c r="A3" s="169">
        <v>2</v>
      </c>
      <c r="B3" s="286" t="s">
        <v>341</v>
      </c>
      <c r="C3" s="530" t="s">
        <v>719</v>
      </c>
    </row>
    <row r="4" spans="1:3">
      <c r="A4" s="169">
        <v>3</v>
      </c>
      <c r="B4" s="287" t="s">
        <v>346</v>
      </c>
      <c r="C4" s="530" t="s">
        <v>720</v>
      </c>
    </row>
    <row r="5" spans="1:3">
      <c r="A5" s="170">
        <v>4</v>
      </c>
      <c r="B5" s="288" t="s">
        <v>342</v>
      </c>
      <c r="C5" s="404" t="s">
        <v>711</v>
      </c>
    </row>
    <row r="6" spans="1:3" s="171" customFormat="1" ht="45.75" customHeight="1">
      <c r="A6" s="613" t="s">
        <v>420</v>
      </c>
      <c r="B6" s="614"/>
      <c r="C6" s="614"/>
    </row>
    <row r="7" spans="1:3" ht="15">
      <c r="A7" s="172" t="s">
        <v>29</v>
      </c>
      <c r="B7" s="168" t="s">
        <v>343</v>
      </c>
    </row>
    <row r="8" spans="1:3">
      <c r="A8" s="137">
        <v>1</v>
      </c>
      <c r="B8" s="207" t="s">
        <v>20</v>
      </c>
    </row>
    <row r="9" spans="1:3">
      <c r="A9" s="137">
        <v>2</v>
      </c>
      <c r="B9" s="208" t="s">
        <v>21</v>
      </c>
    </row>
    <row r="10" spans="1:3">
      <c r="A10" s="137">
        <v>3</v>
      </c>
      <c r="B10" s="208" t="s">
        <v>22</v>
      </c>
    </row>
    <row r="11" spans="1:3">
      <c r="A11" s="137">
        <v>4</v>
      </c>
      <c r="B11" s="208" t="s">
        <v>23</v>
      </c>
    </row>
    <row r="12" spans="1:3">
      <c r="A12" s="137">
        <v>5</v>
      </c>
      <c r="B12" s="208" t="s">
        <v>24</v>
      </c>
    </row>
    <row r="13" spans="1:3">
      <c r="A13" s="137">
        <v>6</v>
      </c>
      <c r="B13" s="209" t="s">
        <v>353</v>
      </c>
    </row>
    <row r="14" spans="1:3">
      <c r="A14" s="137">
        <v>7</v>
      </c>
      <c r="B14" s="208" t="s">
        <v>347</v>
      </c>
    </row>
    <row r="15" spans="1:3">
      <c r="A15" s="137">
        <v>8</v>
      </c>
      <c r="B15" s="208" t="s">
        <v>348</v>
      </c>
    </row>
    <row r="16" spans="1:3">
      <c r="A16" s="137">
        <v>9</v>
      </c>
      <c r="B16" s="208" t="s">
        <v>25</v>
      </c>
    </row>
    <row r="17" spans="1:2">
      <c r="A17" s="284" t="s">
        <v>419</v>
      </c>
      <c r="B17" s="283" t="s">
        <v>406</v>
      </c>
    </row>
    <row r="18" spans="1:2">
      <c r="A18" s="137">
        <v>10</v>
      </c>
      <c r="B18" s="208" t="s">
        <v>26</v>
      </c>
    </row>
    <row r="19" spans="1:2">
      <c r="A19" s="137">
        <v>11</v>
      </c>
      <c r="B19" s="209" t="s">
        <v>349</v>
      </c>
    </row>
    <row r="20" spans="1:2">
      <c r="A20" s="137">
        <v>12</v>
      </c>
      <c r="B20" s="209" t="s">
        <v>27</v>
      </c>
    </row>
    <row r="21" spans="1:2">
      <c r="A21" s="324">
        <v>13</v>
      </c>
      <c r="B21" s="325" t="s">
        <v>350</v>
      </c>
    </row>
    <row r="22" spans="1:2">
      <c r="A22" s="324">
        <v>14</v>
      </c>
      <c r="B22" s="326" t="s">
        <v>377</v>
      </c>
    </row>
    <row r="23" spans="1:2">
      <c r="A23" s="324">
        <v>15</v>
      </c>
      <c r="B23" s="327" t="s">
        <v>28</v>
      </c>
    </row>
    <row r="24" spans="1:2">
      <c r="A24" s="324">
        <v>15.1</v>
      </c>
      <c r="B24" s="328" t="s">
        <v>433</v>
      </c>
    </row>
    <row r="25" spans="1:2">
      <c r="A25" s="324">
        <v>16</v>
      </c>
      <c r="B25" s="328" t="s">
        <v>497</v>
      </c>
    </row>
    <row r="26" spans="1:2">
      <c r="A26" s="324">
        <v>17</v>
      </c>
      <c r="B26" s="328" t="s">
        <v>538</v>
      </c>
    </row>
    <row r="27" spans="1:2">
      <c r="A27" s="324">
        <v>18</v>
      </c>
      <c r="B27" s="328" t="s">
        <v>708</v>
      </c>
    </row>
    <row r="28" spans="1:2">
      <c r="A28" s="324">
        <v>19</v>
      </c>
      <c r="B28" s="328" t="s">
        <v>709</v>
      </c>
    </row>
    <row r="29" spans="1:2">
      <c r="A29" s="324">
        <v>20</v>
      </c>
      <c r="B29" s="404" t="s">
        <v>539</v>
      </c>
    </row>
    <row r="30" spans="1:2">
      <c r="A30" s="324">
        <v>21</v>
      </c>
      <c r="B30" s="328" t="s">
        <v>705</v>
      </c>
    </row>
    <row r="31" spans="1:2">
      <c r="A31" s="324">
        <v>22</v>
      </c>
      <c r="B31" s="328" t="s">
        <v>540</v>
      </c>
    </row>
    <row r="32" spans="1:2">
      <c r="A32" s="324">
        <v>23</v>
      </c>
      <c r="B32" s="328" t="s">
        <v>541</v>
      </c>
    </row>
    <row r="33" spans="1:2">
      <c r="A33" s="324">
        <v>24</v>
      </c>
      <c r="B33" s="328" t="s">
        <v>542</v>
      </c>
    </row>
    <row r="34" spans="1:2">
      <c r="A34" s="324">
        <v>25</v>
      </c>
      <c r="B34" s="328" t="s">
        <v>543</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6" sqref="C6"/>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Terabank</v>
      </c>
    </row>
    <row r="2" spans="1:3" s="2" customFormat="1" ht="15.75" customHeight="1">
      <c r="A2" s="2" t="s">
        <v>31</v>
      </c>
      <c r="B2" s="340">
        <v>44377</v>
      </c>
    </row>
    <row r="3" spans="1:3" s="2" customFormat="1" ht="15.75" customHeight="1"/>
    <row r="4" spans="1:3" ht="13.5" thickBot="1">
      <c r="A4" s="4" t="s">
        <v>246</v>
      </c>
      <c r="B4" s="125" t="s">
        <v>245</v>
      </c>
    </row>
    <row r="5" spans="1:3">
      <c r="A5" s="77" t="s">
        <v>6</v>
      </c>
      <c r="B5" s="78"/>
      <c r="C5" s="79" t="s">
        <v>73</v>
      </c>
    </row>
    <row r="6" spans="1:3">
      <c r="A6" s="80">
        <v>1</v>
      </c>
      <c r="B6" s="81" t="s">
        <v>244</v>
      </c>
      <c r="C6" s="504">
        <f>SUM(C7:C11)</f>
        <v>140526988.89999998</v>
      </c>
    </row>
    <row r="7" spans="1:3">
      <c r="A7" s="80">
        <v>2</v>
      </c>
      <c r="B7" s="82" t="s">
        <v>243</v>
      </c>
      <c r="C7" s="505">
        <v>121372000.00000001</v>
      </c>
    </row>
    <row r="8" spans="1:3">
      <c r="A8" s="80">
        <v>3</v>
      </c>
      <c r="B8" s="83" t="s">
        <v>242</v>
      </c>
      <c r="C8" s="505">
        <v>0</v>
      </c>
    </row>
    <row r="9" spans="1:3">
      <c r="A9" s="80">
        <v>4</v>
      </c>
      <c r="B9" s="83" t="s">
        <v>241</v>
      </c>
      <c r="C9" s="505">
        <v>0</v>
      </c>
    </row>
    <row r="10" spans="1:3">
      <c r="A10" s="80">
        <v>5</v>
      </c>
      <c r="B10" s="83" t="s">
        <v>240</v>
      </c>
      <c r="C10" s="505">
        <v>0</v>
      </c>
    </row>
    <row r="11" spans="1:3">
      <c r="A11" s="80">
        <v>6</v>
      </c>
      <c r="B11" s="84" t="s">
        <v>239</v>
      </c>
      <c r="C11" s="505">
        <v>19154988.899999976</v>
      </c>
    </row>
    <row r="12" spans="1:3" s="55" customFormat="1">
      <c r="A12" s="80">
        <v>7</v>
      </c>
      <c r="B12" s="81" t="s">
        <v>238</v>
      </c>
      <c r="C12" s="506">
        <f>SUM(C13:C27)</f>
        <v>22987679</v>
      </c>
    </row>
    <row r="13" spans="1:3" s="55" customFormat="1">
      <c r="A13" s="80">
        <v>8</v>
      </c>
      <c r="B13" s="85" t="s">
        <v>237</v>
      </c>
      <c r="C13" s="507">
        <v>0</v>
      </c>
    </row>
    <row r="14" spans="1:3" s="55" customFormat="1" ht="25.5">
      <c r="A14" s="80">
        <v>9</v>
      </c>
      <c r="B14" s="87" t="s">
        <v>236</v>
      </c>
      <c r="C14" s="507">
        <v>0</v>
      </c>
    </row>
    <row r="15" spans="1:3" s="55" customFormat="1">
      <c r="A15" s="80">
        <v>10</v>
      </c>
      <c r="B15" s="88" t="s">
        <v>235</v>
      </c>
      <c r="C15" s="507">
        <v>22987679</v>
      </c>
    </row>
    <row r="16" spans="1:3" s="55" customFormat="1">
      <c r="A16" s="80">
        <v>11</v>
      </c>
      <c r="B16" s="89" t="s">
        <v>234</v>
      </c>
      <c r="C16" s="507">
        <v>0</v>
      </c>
    </row>
    <row r="17" spans="1:3" s="55" customFormat="1">
      <c r="A17" s="80">
        <v>12</v>
      </c>
      <c r="B17" s="88" t="s">
        <v>233</v>
      </c>
      <c r="C17" s="507">
        <v>0</v>
      </c>
    </row>
    <row r="18" spans="1:3" s="55" customFormat="1">
      <c r="A18" s="80">
        <v>13</v>
      </c>
      <c r="B18" s="88" t="s">
        <v>232</v>
      </c>
      <c r="C18" s="507">
        <v>0</v>
      </c>
    </row>
    <row r="19" spans="1:3" s="55" customFormat="1">
      <c r="A19" s="80">
        <v>14</v>
      </c>
      <c r="B19" s="88" t="s">
        <v>231</v>
      </c>
      <c r="C19" s="507">
        <v>0</v>
      </c>
    </row>
    <row r="20" spans="1:3" s="55" customFormat="1">
      <c r="A20" s="80">
        <v>15</v>
      </c>
      <c r="B20" s="88" t="s">
        <v>230</v>
      </c>
      <c r="C20" s="507">
        <v>0</v>
      </c>
    </row>
    <row r="21" spans="1:3" s="55" customFormat="1" ht="25.5">
      <c r="A21" s="80">
        <v>16</v>
      </c>
      <c r="B21" s="87" t="s">
        <v>229</v>
      </c>
      <c r="C21" s="507">
        <v>0</v>
      </c>
    </row>
    <row r="22" spans="1:3" s="55" customFormat="1">
      <c r="A22" s="80">
        <v>17</v>
      </c>
      <c r="B22" s="90" t="s">
        <v>228</v>
      </c>
      <c r="C22" s="507">
        <v>0</v>
      </c>
    </row>
    <row r="23" spans="1:3" s="55" customFormat="1">
      <c r="A23" s="80">
        <v>18</v>
      </c>
      <c r="B23" s="87" t="s">
        <v>227</v>
      </c>
      <c r="C23" s="507">
        <v>0</v>
      </c>
    </row>
    <row r="24" spans="1:3" s="55" customFormat="1" ht="25.5">
      <c r="A24" s="80">
        <v>19</v>
      </c>
      <c r="B24" s="87" t="s">
        <v>204</v>
      </c>
      <c r="C24" s="507">
        <v>0</v>
      </c>
    </row>
    <row r="25" spans="1:3" s="55" customFormat="1">
      <c r="A25" s="80">
        <v>20</v>
      </c>
      <c r="B25" s="89" t="s">
        <v>226</v>
      </c>
      <c r="C25" s="507">
        <v>0</v>
      </c>
    </row>
    <row r="26" spans="1:3" s="55" customFormat="1">
      <c r="A26" s="80">
        <v>21</v>
      </c>
      <c r="B26" s="89" t="s">
        <v>225</v>
      </c>
      <c r="C26" s="507">
        <v>0</v>
      </c>
    </row>
    <row r="27" spans="1:3" s="55" customFormat="1">
      <c r="A27" s="80">
        <v>22</v>
      </c>
      <c r="B27" s="89" t="s">
        <v>224</v>
      </c>
      <c r="C27" s="507">
        <v>0</v>
      </c>
    </row>
    <row r="28" spans="1:3" s="55" customFormat="1">
      <c r="A28" s="80">
        <v>23</v>
      </c>
      <c r="B28" s="91" t="s">
        <v>223</v>
      </c>
      <c r="C28" s="506">
        <f>C6-C12</f>
        <v>117539309.89999998</v>
      </c>
    </row>
    <row r="29" spans="1:3" s="55" customFormat="1">
      <c r="A29" s="92"/>
      <c r="B29" s="93"/>
      <c r="C29" s="86"/>
    </row>
    <row r="30" spans="1:3" s="55" customFormat="1">
      <c r="A30" s="92">
        <v>24</v>
      </c>
      <c r="B30" s="91" t="s">
        <v>222</v>
      </c>
      <c r="C30" s="506">
        <f>C31+C34</f>
        <v>0</v>
      </c>
    </row>
    <row r="31" spans="1:3" s="55" customFormat="1">
      <c r="A31" s="92">
        <v>25</v>
      </c>
      <c r="B31" s="83" t="s">
        <v>221</v>
      </c>
      <c r="C31" s="508">
        <f>C32+C33</f>
        <v>0</v>
      </c>
    </row>
    <row r="32" spans="1:3" s="55" customFormat="1">
      <c r="A32" s="92">
        <v>26</v>
      </c>
      <c r="B32" s="94" t="s">
        <v>302</v>
      </c>
      <c r="C32" s="507">
        <v>0</v>
      </c>
    </row>
    <row r="33" spans="1:3" s="55" customFormat="1">
      <c r="A33" s="92">
        <v>27</v>
      </c>
      <c r="B33" s="94" t="s">
        <v>220</v>
      </c>
      <c r="C33" s="507">
        <v>0</v>
      </c>
    </row>
    <row r="34" spans="1:3" s="55" customFormat="1">
      <c r="A34" s="92">
        <v>28</v>
      </c>
      <c r="B34" s="83" t="s">
        <v>219</v>
      </c>
      <c r="C34" s="507">
        <v>0</v>
      </c>
    </row>
    <row r="35" spans="1:3" s="55" customFormat="1">
      <c r="A35" s="92">
        <v>29</v>
      </c>
      <c r="B35" s="91" t="s">
        <v>218</v>
      </c>
      <c r="C35" s="506">
        <f>SUM(C36:C40)</f>
        <v>0</v>
      </c>
    </row>
    <row r="36" spans="1:3" s="55" customFormat="1">
      <c r="A36" s="92">
        <v>30</v>
      </c>
      <c r="B36" s="87" t="s">
        <v>217</v>
      </c>
      <c r="C36" s="507">
        <v>0</v>
      </c>
    </row>
    <row r="37" spans="1:3" s="55" customFormat="1">
      <c r="A37" s="92">
        <v>31</v>
      </c>
      <c r="B37" s="88" t="s">
        <v>216</v>
      </c>
      <c r="C37" s="507">
        <v>0</v>
      </c>
    </row>
    <row r="38" spans="1:3" s="55" customFormat="1" ht="25.5">
      <c r="A38" s="92">
        <v>32</v>
      </c>
      <c r="B38" s="87" t="s">
        <v>215</v>
      </c>
      <c r="C38" s="507">
        <v>0</v>
      </c>
    </row>
    <row r="39" spans="1:3" s="55" customFormat="1" ht="25.5">
      <c r="A39" s="92">
        <v>33</v>
      </c>
      <c r="B39" s="87" t="s">
        <v>204</v>
      </c>
      <c r="C39" s="507">
        <v>0</v>
      </c>
    </row>
    <row r="40" spans="1:3" s="55" customFormat="1">
      <c r="A40" s="92">
        <v>34</v>
      </c>
      <c r="B40" s="89" t="s">
        <v>214</v>
      </c>
      <c r="C40" s="507">
        <v>0</v>
      </c>
    </row>
    <row r="41" spans="1:3" s="55" customFormat="1">
      <c r="A41" s="92">
        <v>35</v>
      </c>
      <c r="B41" s="91" t="s">
        <v>213</v>
      </c>
      <c r="C41" s="506">
        <f>C30-C35</f>
        <v>0</v>
      </c>
    </row>
    <row r="42" spans="1:3" s="55" customFormat="1">
      <c r="A42" s="92"/>
      <c r="B42" s="93"/>
      <c r="C42" s="507"/>
    </row>
    <row r="43" spans="1:3" s="55" customFormat="1">
      <c r="A43" s="92">
        <v>36</v>
      </c>
      <c r="B43" s="95" t="s">
        <v>212</v>
      </c>
      <c r="C43" s="506">
        <f>SUM(C44:C46)</f>
        <v>52893281.370435596</v>
      </c>
    </row>
    <row r="44" spans="1:3" s="55" customFormat="1">
      <c r="A44" s="92">
        <v>37</v>
      </c>
      <c r="B44" s="83" t="s">
        <v>211</v>
      </c>
      <c r="C44" s="507">
        <v>40645476.57</v>
      </c>
    </row>
    <row r="45" spans="1:3" s="55" customFormat="1">
      <c r="A45" s="92">
        <v>38</v>
      </c>
      <c r="B45" s="83" t="s">
        <v>210</v>
      </c>
      <c r="C45" s="507">
        <v>0</v>
      </c>
    </row>
    <row r="46" spans="1:3" s="55" customFormat="1">
      <c r="A46" s="92">
        <v>39</v>
      </c>
      <c r="B46" s="83" t="s">
        <v>209</v>
      </c>
      <c r="C46" s="507">
        <v>12247804.800435595</v>
      </c>
    </row>
    <row r="47" spans="1:3" s="55" customFormat="1">
      <c r="A47" s="92">
        <v>40</v>
      </c>
      <c r="B47" s="95" t="s">
        <v>208</v>
      </c>
      <c r="C47" s="506">
        <f>SUM(C48:C51)</f>
        <v>0</v>
      </c>
    </row>
    <row r="48" spans="1:3" s="55" customFormat="1">
      <c r="A48" s="92">
        <v>41</v>
      </c>
      <c r="B48" s="87" t="s">
        <v>207</v>
      </c>
      <c r="C48" s="507">
        <v>0</v>
      </c>
    </row>
    <row r="49" spans="1:3" s="55" customFormat="1">
      <c r="A49" s="92">
        <v>42</v>
      </c>
      <c r="B49" s="88" t="s">
        <v>206</v>
      </c>
      <c r="C49" s="507">
        <v>0</v>
      </c>
    </row>
    <row r="50" spans="1:3" s="55" customFormat="1">
      <c r="A50" s="92">
        <v>43</v>
      </c>
      <c r="B50" s="87" t="s">
        <v>205</v>
      </c>
      <c r="C50" s="507">
        <v>0</v>
      </c>
    </row>
    <row r="51" spans="1:3" s="55" customFormat="1" ht="25.5">
      <c r="A51" s="92">
        <v>44</v>
      </c>
      <c r="B51" s="87" t="s">
        <v>204</v>
      </c>
      <c r="C51" s="507">
        <v>0</v>
      </c>
    </row>
    <row r="52" spans="1:3" s="55" customFormat="1" ht="13.5" thickBot="1">
      <c r="A52" s="96">
        <v>45</v>
      </c>
      <c r="B52" s="97" t="s">
        <v>203</v>
      </c>
      <c r="C52" s="509">
        <f>C43-C47</f>
        <v>52893281.370435596</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7" sqref="C7:D21"/>
    </sheetView>
  </sheetViews>
  <sheetFormatPr defaultColWidth="9.140625" defaultRowHeight="12.75"/>
  <cols>
    <col min="1" max="1" width="9.42578125" style="194" bestFit="1" customWidth="1"/>
    <col min="2" max="2" width="59" style="194" customWidth="1"/>
    <col min="3" max="3" width="16.7109375" style="194" bestFit="1" customWidth="1"/>
    <col min="4" max="4" width="13.28515625" style="194" bestFit="1" customWidth="1"/>
    <col min="5" max="16384" width="9.140625" style="194"/>
  </cols>
  <sheetData>
    <row r="1" spans="1:4" ht="15">
      <c r="A1" s="192" t="s">
        <v>30</v>
      </c>
      <c r="B1" s="3" t="str">
        <f>'Info '!C2</f>
        <v>Terabank</v>
      </c>
    </row>
    <row r="2" spans="1:4" s="192" customFormat="1" ht="15.75" customHeight="1">
      <c r="A2" s="192" t="s">
        <v>31</v>
      </c>
      <c r="B2" s="340">
        <v>44377</v>
      </c>
    </row>
    <row r="3" spans="1:4" s="192" customFormat="1" ht="15.75" customHeight="1"/>
    <row r="4" spans="1:4" ht="13.5" thickBot="1">
      <c r="A4" s="194" t="s">
        <v>405</v>
      </c>
      <c r="B4" s="273" t="s">
        <v>406</v>
      </c>
    </row>
    <row r="5" spans="1:4" s="199" customFormat="1" ht="12.75" customHeight="1">
      <c r="A5" s="322"/>
      <c r="B5" s="323" t="s">
        <v>409</v>
      </c>
      <c r="C5" s="266" t="s">
        <v>407</v>
      </c>
      <c r="D5" s="267" t="s">
        <v>408</v>
      </c>
    </row>
    <row r="6" spans="1:4" s="274" customFormat="1">
      <c r="A6" s="268">
        <v>1</v>
      </c>
      <c r="B6" s="318" t="s">
        <v>410</v>
      </c>
      <c r="C6" s="318"/>
      <c r="D6" s="269"/>
    </row>
    <row r="7" spans="1:4" s="274" customFormat="1">
      <c r="A7" s="270" t="s">
        <v>396</v>
      </c>
      <c r="B7" s="319" t="s">
        <v>411</v>
      </c>
      <c r="C7" s="510">
        <v>4.4999999999999998E-2</v>
      </c>
      <c r="D7" s="511">
        <v>49753796.442068137</v>
      </c>
    </row>
    <row r="8" spans="1:4" s="274" customFormat="1">
      <c r="A8" s="270" t="s">
        <v>397</v>
      </c>
      <c r="B8" s="319" t="s">
        <v>412</v>
      </c>
      <c r="C8" s="512">
        <v>0.06</v>
      </c>
      <c r="D8" s="511">
        <v>66338395.25609085</v>
      </c>
    </row>
    <row r="9" spans="1:4" s="274" customFormat="1">
      <c r="A9" s="270" t="s">
        <v>398</v>
      </c>
      <c r="B9" s="319" t="s">
        <v>413</v>
      </c>
      <c r="C9" s="512">
        <v>0.08</v>
      </c>
      <c r="D9" s="511">
        <v>88451193.674787804</v>
      </c>
    </row>
    <row r="10" spans="1:4" s="274" customFormat="1">
      <c r="A10" s="268" t="s">
        <v>399</v>
      </c>
      <c r="B10" s="318" t="s">
        <v>414</v>
      </c>
      <c r="C10" s="513"/>
      <c r="D10" s="514"/>
    </row>
    <row r="11" spans="1:4" s="275" customFormat="1">
      <c r="A11" s="271" t="s">
        <v>400</v>
      </c>
      <c r="B11" s="316" t="s">
        <v>480</v>
      </c>
      <c r="C11" s="515">
        <v>0</v>
      </c>
      <c r="D11" s="516">
        <v>0</v>
      </c>
    </row>
    <row r="12" spans="1:4" s="275" customFormat="1">
      <c r="A12" s="271" t="s">
        <v>401</v>
      </c>
      <c r="B12" s="316" t="s">
        <v>415</v>
      </c>
      <c r="C12" s="515">
        <v>0</v>
      </c>
      <c r="D12" s="516">
        <v>0</v>
      </c>
    </row>
    <row r="13" spans="1:4" s="275" customFormat="1">
      <c r="A13" s="271" t="s">
        <v>402</v>
      </c>
      <c r="B13" s="316" t="s">
        <v>416</v>
      </c>
      <c r="C13" s="515">
        <v>0</v>
      </c>
      <c r="D13" s="516">
        <v>0</v>
      </c>
    </row>
    <row r="14" spans="1:4" s="275" customFormat="1">
      <c r="A14" s="268" t="s">
        <v>403</v>
      </c>
      <c r="B14" s="318" t="s">
        <v>477</v>
      </c>
      <c r="C14" s="517"/>
      <c r="D14" s="514"/>
    </row>
    <row r="15" spans="1:4" s="275" customFormat="1">
      <c r="A15" s="271">
        <v>3.1</v>
      </c>
      <c r="B15" s="316" t="s">
        <v>421</v>
      </c>
      <c r="C15" s="515">
        <v>1.6107497667945475E-2</v>
      </c>
      <c r="D15" s="516">
        <v>17809092.448045477</v>
      </c>
    </row>
    <row r="16" spans="1:4" s="275" customFormat="1">
      <c r="A16" s="271">
        <v>3.2</v>
      </c>
      <c r="B16" s="316" t="s">
        <v>422</v>
      </c>
      <c r="C16" s="515">
        <v>2.1506807157295131E-2</v>
      </c>
      <c r="D16" s="516">
        <v>23778784.564952802</v>
      </c>
    </row>
    <row r="17" spans="1:4" s="274" customFormat="1">
      <c r="A17" s="271">
        <v>3.3</v>
      </c>
      <c r="B17" s="316" t="s">
        <v>423</v>
      </c>
      <c r="C17" s="515">
        <v>4.5854322884182272E-2</v>
      </c>
      <c r="D17" s="516">
        <v>50698369.928188257</v>
      </c>
    </row>
    <row r="18" spans="1:4" s="199" customFormat="1" ht="12.75" customHeight="1">
      <c r="A18" s="320"/>
      <c r="B18" s="321" t="s">
        <v>476</v>
      </c>
      <c r="C18" s="518" t="s">
        <v>712</v>
      </c>
      <c r="D18" s="519" t="s">
        <v>713</v>
      </c>
    </row>
    <row r="19" spans="1:4" s="274" customFormat="1">
      <c r="A19" s="272">
        <v>4</v>
      </c>
      <c r="B19" s="316" t="s">
        <v>417</v>
      </c>
      <c r="C19" s="515">
        <v>6.1107497667945473E-2</v>
      </c>
      <c r="D19" s="511">
        <v>67562888.890113622</v>
      </c>
    </row>
    <row r="20" spans="1:4" s="274" customFormat="1">
      <c r="A20" s="272">
        <v>5</v>
      </c>
      <c r="B20" s="316" t="s">
        <v>137</v>
      </c>
      <c r="C20" s="515">
        <v>8.1506807157295136E-2</v>
      </c>
      <c r="D20" s="511">
        <v>90117179.82104367</v>
      </c>
    </row>
    <row r="21" spans="1:4" s="274" customFormat="1" ht="13.5" thickBot="1">
      <c r="A21" s="276" t="s">
        <v>404</v>
      </c>
      <c r="B21" s="277" t="s">
        <v>418</v>
      </c>
      <c r="C21" s="317">
        <v>0.12585432288418227</v>
      </c>
      <c r="D21" s="520">
        <v>139149563.60297608</v>
      </c>
    </row>
    <row r="23" spans="1:4" ht="51">
      <c r="B23" s="233"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B14" sqref="B1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Terabank</v>
      </c>
      <c r="E1" s="4"/>
      <c r="F1" s="4"/>
    </row>
    <row r="2" spans="1:6" s="2" customFormat="1" ht="15.75" customHeight="1">
      <c r="A2" s="2" t="s">
        <v>31</v>
      </c>
      <c r="B2" s="340">
        <v>44377</v>
      </c>
    </row>
    <row r="3" spans="1:6" s="2" customFormat="1" ht="15.75" customHeight="1">
      <c r="A3" s="98"/>
    </row>
    <row r="4" spans="1:6" s="2" customFormat="1" ht="15.75" customHeight="1" thickBot="1">
      <c r="A4" s="2" t="s">
        <v>86</v>
      </c>
      <c r="B4" s="184" t="s">
        <v>286</v>
      </c>
      <c r="D4" s="31" t="s">
        <v>73</v>
      </c>
    </row>
    <row r="5" spans="1:6" ht="25.5">
      <c r="A5" s="99" t="s">
        <v>6</v>
      </c>
      <c r="B5" s="211" t="s">
        <v>340</v>
      </c>
      <c r="C5" s="100" t="s">
        <v>93</v>
      </c>
      <c r="D5" s="101" t="s">
        <v>94</v>
      </c>
    </row>
    <row r="6" spans="1:6" ht="15">
      <c r="A6" s="71">
        <v>1</v>
      </c>
      <c r="B6" s="102" t="s">
        <v>35</v>
      </c>
      <c r="C6" s="521">
        <v>43366972.600000016</v>
      </c>
      <c r="D6" s="103"/>
      <c r="E6" s="104"/>
    </row>
    <row r="7" spans="1:6" ht="15">
      <c r="A7" s="71">
        <v>2</v>
      </c>
      <c r="B7" s="105" t="s">
        <v>36</v>
      </c>
      <c r="C7" s="522">
        <v>172709662.09</v>
      </c>
      <c r="D7" s="106"/>
      <c r="E7" s="104"/>
    </row>
    <row r="8" spans="1:6" ht="15">
      <c r="A8" s="71">
        <v>3</v>
      </c>
      <c r="B8" s="105" t="s">
        <v>37</v>
      </c>
      <c r="C8" s="522">
        <v>23184269.640000001</v>
      </c>
      <c r="D8" s="106"/>
      <c r="E8" s="104"/>
    </row>
    <row r="9" spans="1:6" ht="15">
      <c r="A9" s="71">
        <v>4</v>
      </c>
      <c r="B9" s="105" t="s">
        <v>38</v>
      </c>
      <c r="C9" s="522">
        <v>0</v>
      </c>
      <c r="D9" s="106"/>
      <c r="E9" s="104"/>
    </row>
    <row r="10" spans="1:6" ht="15">
      <c r="A10" s="71">
        <v>5</v>
      </c>
      <c r="B10" s="105" t="s">
        <v>39</v>
      </c>
      <c r="C10" s="522">
        <v>122129070.13</v>
      </c>
      <c r="D10" s="106"/>
      <c r="E10" s="104"/>
    </row>
    <row r="11" spans="1:6" ht="15">
      <c r="A11" s="71">
        <v>6.1</v>
      </c>
      <c r="B11" s="185" t="s">
        <v>40</v>
      </c>
      <c r="C11" s="523">
        <v>949967386.11999881</v>
      </c>
      <c r="D11" s="107"/>
      <c r="E11" s="108"/>
    </row>
    <row r="12" spans="1:6" ht="15">
      <c r="A12" s="71">
        <v>6.2</v>
      </c>
      <c r="B12" s="186" t="s">
        <v>41</v>
      </c>
      <c r="C12" s="523">
        <v>-53338051.870000102</v>
      </c>
      <c r="D12" s="107"/>
      <c r="E12" s="108"/>
    </row>
    <row r="13" spans="1:6" ht="15">
      <c r="A13" s="71" t="s">
        <v>714</v>
      </c>
      <c r="B13" s="186" t="s">
        <v>715</v>
      </c>
      <c r="C13" s="523">
        <v>-14811553.010000039</v>
      </c>
      <c r="D13" s="107"/>
      <c r="E13" s="104"/>
    </row>
    <row r="14" spans="1:6" ht="15">
      <c r="A14" s="71" t="s">
        <v>716</v>
      </c>
      <c r="B14" s="186" t="s">
        <v>717</v>
      </c>
      <c r="C14" s="523">
        <v>-1621297.71</v>
      </c>
      <c r="D14" s="107"/>
      <c r="E14" s="104"/>
    </row>
    <row r="15" spans="1:6" ht="15">
      <c r="A15" s="71">
        <v>6</v>
      </c>
      <c r="B15" s="105" t="s">
        <v>42</v>
      </c>
      <c r="C15" s="524">
        <v>896629334.24999869</v>
      </c>
      <c r="D15" s="107"/>
      <c r="E15" s="104"/>
    </row>
    <row r="16" spans="1:6" ht="15">
      <c r="A16" s="71">
        <v>7</v>
      </c>
      <c r="B16" s="105" t="s">
        <v>43</v>
      </c>
      <c r="C16" s="522">
        <v>13697081.599999959</v>
      </c>
      <c r="D16" s="106"/>
      <c r="E16" s="104"/>
    </row>
    <row r="17" spans="1:5" ht="15">
      <c r="A17" s="71">
        <v>8</v>
      </c>
      <c r="B17" s="105" t="s">
        <v>199</v>
      </c>
      <c r="C17" s="522">
        <v>3070297.77000002</v>
      </c>
      <c r="D17" s="106"/>
      <c r="E17" s="104"/>
    </row>
    <row r="18" spans="1:5" ht="15">
      <c r="A18" s="71">
        <v>9</v>
      </c>
      <c r="B18" s="105" t="s">
        <v>44</v>
      </c>
      <c r="C18" s="522">
        <v>0</v>
      </c>
      <c r="D18" s="106"/>
      <c r="E18" s="104"/>
    </row>
    <row r="19" spans="1:5" ht="15">
      <c r="A19" s="71">
        <v>9.1</v>
      </c>
      <c r="B19" s="109" t="s">
        <v>88</v>
      </c>
      <c r="C19" s="523">
        <v>0</v>
      </c>
      <c r="D19" s="106"/>
      <c r="E19" s="104"/>
    </row>
    <row r="20" spans="1:5" ht="15">
      <c r="A20" s="71">
        <v>9.1999999999999993</v>
      </c>
      <c r="B20" s="109" t="s">
        <v>89</v>
      </c>
      <c r="C20" s="523">
        <v>0</v>
      </c>
      <c r="D20" s="106"/>
      <c r="E20" s="104"/>
    </row>
    <row r="21" spans="1:5" ht="15">
      <c r="A21" s="71">
        <v>9.3000000000000007</v>
      </c>
      <c r="B21" s="109" t="s">
        <v>268</v>
      </c>
      <c r="C21" s="523">
        <v>0</v>
      </c>
      <c r="D21" s="106"/>
      <c r="E21" s="104"/>
    </row>
    <row r="22" spans="1:5" ht="15">
      <c r="A22" s="71">
        <v>10</v>
      </c>
      <c r="B22" s="105" t="s">
        <v>45</v>
      </c>
      <c r="C22" s="522">
        <v>46329030.339999989</v>
      </c>
      <c r="D22" s="106"/>
      <c r="E22" s="104"/>
    </row>
    <row r="23" spans="1:5" ht="15">
      <c r="A23" s="71">
        <v>10.1</v>
      </c>
      <c r="B23" s="109" t="s">
        <v>90</v>
      </c>
      <c r="C23" s="522">
        <v>22987679</v>
      </c>
      <c r="D23" s="110" t="s">
        <v>92</v>
      </c>
      <c r="E23" s="115"/>
    </row>
    <row r="24" spans="1:5" ht="15">
      <c r="A24" s="71">
        <v>11</v>
      </c>
      <c r="B24" s="111" t="s">
        <v>46</v>
      </c>
      <c r="C24" s="525">
        <v>12974068.432999998</v>
      </c>
      <c r="D24" s="112"/>
      <c r="E24" s="104"/>
    </row>
    <row r="25" spans="1:5" ht="15">
      <c r="A25" s="71">
        <v>12</v>
      </c>
      <c r="B25" s="113" t="s">
        <v>47</v>
      </c>
      <c r="C25" s="526">
        <f>SUM(C6:C10,C15:C18,C22,C24)</f>
        <v>1334089786.8529985</v>
      </c>
      <c r="D25" s="114"/>
      <c r="E25" s="104"/>
    </row>
    <row r="26" spans="1:5" ht="15">
      <c r="A26" s="71">
        <v>13</v>
      </c>
      <c r="B26" s="105" t="s">
        <v>49</v>
      </c>
      <c r="C26" s="527">
        <v>64072.07</v>
      </c>
      <c r="D26" s="116"/>
      <c r="E26" s="104"/>
    </row>
    <row r="27" spans="1:5" ht="15">
      <c r="A27" s="71">
        <v>14</v>
      </c>
      <c r="B27" s="105" t="s">
        <v>50</v>
      </c>
      <c r="C27" s="522">
        <v>230571969.70011047</v>
      </c>
      <c r="D27" s="106"/>
      <c r="E27" s="104"/>
    </row>
    <row r="28" spans="1:5" ht="15">
      <c r="A28" s="71">
        <v>15</v>
      </c>
      <c r="B28" s="105" t="s">
        <v>51</v>
      </c>
      <c r="C28" s="522">
        <v>249008804.19999969</v>
      </c>
      <c r="D28" s="106"/>
      <c r="E28" s="104"/>
    </row>
    <row r="29" spans="1:5" ht="15">
      <c r="A29" s="71">
        <v>16</v>
      </c>
      <c r="B29" s="105" t="s">
        <v>52</v>
      </c>
      <c r="C29" s="522">
        <v>384764893.41000032</v>
      </c>
      <c r="D29" s="106"/>
      <c r="E29" s="104"/>
    </row>
    <row r="30" spans="1:5" ht="15">
      <c r="A30" s="71">
        <v>17</v>
      </c>
      <c r="B30" s="105" t="s">
        <v>53</v>
      </c>
      <c r="C30" s="522">
        <v>0</v>
      </c>
      <c r="D30" s="106"/>
      <c r="E30" s="104"/>
    </row>
    <row r="31" spans="1:5" ht="15">
      <c r="A31" s="71">
        <v>18</v>
      </c>
      <c r="B31" s="105" t="s">
        <v>54</v>
      </c>
      <c r="C31" s="522">
        <v>234497608</v>
      </c>
      <c r="D31" s="106"/>
      <c r="E31" s="104"/>
    </row>
    <row r="32" spans="1:5" ht="15">
      <c r="A32" s="71">
        <v>19</v>
      </c>
      <c r="B32" s="105" t="s">
        <v>55</v>
      </c>
      <c r="C32" s="522">
        <v>6070131.2200000025</v>
      </c>
      <c r="D32" s="106"/>
      <c r="E32" s="104"/>
    </row>
    <row r="33" spans="1:5" ht="15">
      <c r="A33" s="71">
        <v>20</v>
      </c>
      <c r="B33" s="105" t="s">
        <v>56</v>
      </c>
      <c r="C33" s="522">
        <v>27352731.929999992</v>
      </c>
      <c r="D33" s="106"/>
      <c r="E33" s="104"/>
    </row>
    <row r="34" spans="1:5" ht="15">
      <c r="A34" s="71">
        <v>20.100000000000001</v>
      </c>
      <c r="B34" s="111"/>
      <c r="C34" s="525">
        <v>881987.83</v>
      </c>
      <c r="D34" s="112"/>
      <c r="E34" s="115"/>
    </row>
    <row r="35" spans="1:5" ht="15">
      <c r="A35" s="71">
        <v>21</v>
      </c>
      <c r="B35" s="111" t="s">
        <v>57</v>
      </c>
      <c r="C35" s="525">
        <v>61232587.399999999</v>
      </c>
      <c r="D35" s="112"/>
      <c r="E35" s="104"/>
    </row>
    <row r="36" spans="1:5" ht="15">
      <c r="A36" s="71">
        <v>21.1</v>
      </c>
      <c r="B36" s="117" t="s">
        <v>91</v>
      </c>
      <c r="C36" s="528">
        <v>40645476.57</v>
      </c>
      <c r="D36" s="118"/>
      <c r="E36" s="104"/>
    </row>
    <row r="37" spans="1:5" ht="15">
      <c r="A37" s="71">
        <v>22</v>
      </c>
      <c r="B37" s="113" t="s">
        <v>58</v>
      </c>
      <c r="C37" s="526">
        <f>SUM(C26:C35)</f>
        <v>1194444785.7601106</v>
      </c>
      <c r="D37" s="114"/>
      <c r="E37" s="104"/>
    </row>
    <row r="38" spans="1:5" ht="15">
      <c r="A38" s="71">
        <v>23</v>
      </c>
      <c r="B38" s="111" t="s">
        <v>60</v>
      </c>
      <c r="C38" s="522">
        <v>121372000</v>
      </c>
      <c r="D38" s="106"/>
      <c r="E38" s="104"/>
    </row>
    <row r="39" spans="1:5" ht="15">
      <c r="A39" s="71">
        <v>24</v>
      </c>
      <c r="B39" s="111" t="s">
        <v>61</v>
      </c>
      <c r="C39" s="522">
        <v>0</v>
      </c>
      <c r="D39" s="106"/>
      <c r="E39" s="104"/>
    </row>
    <row r="40" spans="1:5" ht="15">
      <c r="A40" s="71">
        <v>25</v>
      </c>
      <c r="B40" s="111" t="s">
        <v>62</v>
      </c>
      <c r="C40" s="522">
        <v>0</v>
      </c>
      <c r="D40" s="106"/>
      <c r="E40" s="104"/>
    </row>
    <row r="41" spans="1:5" ht="15">
      <c r="A41" s="71">
        <v>26</v>
      </c>
      <c r="B41" s="111" t="s">
        <v>63</v>
      </c>
      <c r="C41" s="522">
        <v>0</v>
      </c>
      <c r="D41" s="106"/>
      <c r="E41" s="104"/>
    </row>
    <row r="42" spans="1:5" ht="15">
      <c r="A42" s="71">
        <v>27</v>
      </c>
      <c r="B42" s="111" t="s">
        <v>64</v>
      </c>
      <c r="C42" s="522">
        <v>0</v>
      </c>
      <c r="D42" s="106"/>
      <c r="E42" s="115"/>
    </row>
    <row r="43" spans="1:5" ht="15">
      <c r="A43" s="71">
        <v>28</v>
      </c>
      <c r="B43" s="111" t="s">
        <v>65</v>
      </c>
      <c r="C43" s="522">
        <v>19154988.900000006</v>
      </c>
      <c r="D43" s="106"/>
    </row>
    <row r="44" spans="1:5" ht="15">
      <c r="A44" s="71">
        <v>29</v>
      </c>
      <c r="B44" s="111" t="s">
        <v>66</v>
      </c>
      <c r="C44" s="522">
        <v>0</v>
      </c>
      <c r="D44" s="106"/>
    </row>
    <row r="45" spans="1:5" ht="15.75" thickBot="1">
      <c r="A45" s="119">
        <v>30</v>
      </c>
      <c r="B45" s="120" t="s">
        <v>266</v>
      </c>
      <c r="C45" s="529">
        <f>SUM(C38:C44)</f>
        <v>140526988.90000001</v>
      </c>
      <c r="D45" s="12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A8" sqref="A8"/>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85546875" style="30" customWidth="1"/>
    <col min="20" max="16384" width="9.140625" style="30"/>
  </cols>
  <sheetData>
    <row r="1" spans="1:19">
      <c r="A1" s="2" t="s">
        <v>30</v>
      </c>
      <c r="B1" s="3" t="str">
        <f>'Info '!C2</f>
        <v>Terabank</v>
      </c>
    </row>
    <row r="2" spans="1:19">
      <c r="A2" s="2" t="s">
        <v>31</v>
      </c>
      <c r="B2" s="340">
        <v>44377</v>
      </c>
    </row>
    <row r="4" spans="1:19" ht="26.25" thickBot="1">
      <c r="A4" s="4" t="s">
        <v>249</v>
      </c>
      <c r="B4" s="227" t="s">
        <v>375</v>
      </c>
    </row>
    <row r="5" spans="1:19" s="219" customFormat="1">
      <c r="A5" s="214"/>
      <c r="B5" s="215"/>
      <c r="C5" s="216" t="s">
        <v>0</v>
      </c>
      <c r="D5" s="216" t="s">
        <v>1</v>
      </c>
      <c r="E5" s="216" t="s">
        <v>2</v>
      </c>
      <c r="F5" s="216" t="s">
        <v>3</v>
      </c>
      <c r="G5" s="216" t="s">
        <v>4</v>
      </c>
      <c r="H5" s="216" t="s">
        <v>5</v>
      </c>
      <c r="I5" s="216" t="s">
        <v>8</v>
      </c>
      <c r="J5" s="216" t="s">
        <v>9</v>
      </c>
      <c r="K5" s="216" t="s">
        <v>10</v>
      </c>
      <c r="L5" s="216" t="s">
        <v>11</v>
      </c>
      <c r="M5" s="216" t="s">
        <v>12</v>
      </c>
      <c r="N5" s="216" t="s">
        <v>13</v>
      </c>
      <c r="O5" s="216" t="s">
        <v>358</v>
      </c>
      <c r="P5" s="216" t="s">
        <v>359</v>
      </c>
      <c r="Q5" s="216" t="s">
        <v>360</v>
      </c>
      <c r="R5" s="217" t="s">
        <v>361</v>
      </c>
      <c r="S5" s="218" t="s">
        <v>362</v>
      </c>
    </row>
    <row r="6" spans="1:19" s="219" customFormat="1" ht="99" customHeight="1">
      <c r="A6" s="220"/>
      <c r="B6" s="635" t="s">
        <v>363</v>
      </c>
      <c r="C6" s="631">
        <v>0</v>
      </c>
      <c r="D6" s="632"/>
      <c r="E6" s="631">
        <v>0.2</v>
      </c>
      <c r="F6" s="632"/>
      <c r="G6" s="631">
        <v>0.35</v>
      </c>
      <c r="H6" s="632"/>
      <c r="I6" s="631">
        <v>0.5</v>
      </c>
      <c r="J6" s="632"/>
      <c r="K6" s="631">
        <v>0.75</v>
      </c>
      <c r="L6" s="632"/>
      <c r="M6" s="631">
        <v>1</v>
      </c>
      <c r="N6" s="632"/>
      <c r="O6" s="631">
        <v>1.5</v>
      </c>
      <c r="P6" s="632"/>
      <c r="Q6" s="631">
        <v>2.5</v>
      </c>
      <c r="R6" s="632"/>
      <c r="S6" s="633" t="s">
        <v>248</v>
      </c>
    </row>
    <row r="7" spans="1:19" s="219" customFormat="1" ht="30.75" customHeight="1">
      <c r="A7" s="220"/>
      <c r="B7" s="636"/>
      <c r="C7" s="210" t="s">
        <v>251</v>
      </c>
      <c r="D7" s="210" t="s">
        <v>250</v>
      </c>
      <c r="E7" s="210" t="s">
        <v>251</v>
      </c>
      <c r="F7" s="210" t="s">
        <v>250</v>
      </c>
      <c r="G7" s="210" t="s">
        <v>251</v>
      </c>
      <c r="H7" s="210" t="s">
        <v>250</v>
      </c>
      <c r="I7" s="210" t="s">
        <v>251</v>
      </c>
      <c r="J7" s="210" t="s">
        <v>250</v>
      </c>
      <c r="K7" s="210" t="s">
        <v>251</v>
      </c>
      <c r="L7" s="210" t="s">
        <v>250</v>
      </c>
      <c r="M7" s="210" t="s">
        <v>251</v>
      </c>
      <c r="N7" s="210" t="s">
        <v>250</v>
      </c>
      <c r="O7" s="210" t="s">
        <v>251</v>
      </c>
      <c r="P7" s="210" t="s">
        <v>250</v>
      </c>
      <c r="Q7" s="210" t="s">
        <v>251</v>
      </c>
      <c r="R7" s="210" t="s">
        <v>250</v>
      </c>
      <c r="S7" s="634"/>
    </row>
    <row r="8" spans="1:19">
      <c r="A8" s="122">
        <v>1</v>
      </c>
      <c r="B8" s="1" t="s">
        <v>96</v>
      </c>
      <c r="C8" s="532">
        <v>141497859.66</v>
      </c>
      <c r="D8" s="532">
        <v>0</v>
      </c>
      <c r="E8" s="532">
        <v>0</v>
      </c>
      <c r="F8" s="533">
        <v>0</v>
      </c>
      <c r="G8" s="532">
        <v>0</v>
      </c>
      <c r="H8" s="532">
        <v>0</v>
      </c>
      <c r="I8" s="532">
        <v>0</v>
      </c>
      <c r="J8" s="532">
        <v>0</v>
      </c>
      <c r="K8" s="532">
        <v>0</v>
      </c>
      <c r="L8" s="532">
        <v>0</v>
      </c>
      <c r="M8" s="532">
        <v>152072202.43000001</v>
      </c>
      <c r="N8" s="532">
        <v>0</v>
      </c>
      <c r="O8" s="532">
        <v>0</v>
      </c>
      <c r="P8" s="532">
        <v>0</v>
      </c>
      <c r="Q8" s="532">
        <v>0</v>
      </c>
      <c r="R8" s="533">
        <v>0</v>
      </c>
      <c r="S8" s="534">
        <f>$C$6*SUM(C8:D8)+$E$6*SUM(E8:F8)+$G$6*SUM(G8:H8)+$I$6*SUM(I8:J8)+$K$6*SUM(K8:L8)+$M$6*SUM(M8:N8)+$O$6*SUM(O8:P8)+$Q$6*SUM(Q8:R8)</f>
        <v>152072202.43000001</v>
      </c>
    </row>
    <row r="9" spans="1:19">
      <c r="A9" s="122">
        <v>2</v>
      </c>
      <c r="B9" s="1" t="s">
        <v>97</v>
      </c>
      <c r="C9" s="532">
        <v>0</v>
      </c>
      <c r="D9" s="532">
        <v>0</v>
      </c>
      <c r="E9" s="532">
        <v>0</v>
      </c>
      <c r="F9" s="532">
        <v>0</v>
      </c>
      <c r="G9" s="532">
        <v>0</v>
      </c>
      <c r="H9" s="532">
        <v>0</v>
      </c>
      <c r="I9" s="532">
        <v>0</v>
      </c>
      <c r="J9" s="532">
        <v>0</v>
      </c>
      <c r="K9" s="532">
        <v>0</v>
      </c>
      <c r="L9" s="532">
        <v>0</v>
      </c>
      <c r="M9" s="532">
        <v>0</v>
      </c>
      <c r="N9" s="532">
        <v>0</v>
      </c>
      <c r="O9" s="532">
        <v>0</v>
      </c>
      <c r="P9" s="532">
        <v>0</v>
      </c>
      <c r="Q9" s="532">
        <v>0</v>
      </c>
      <c r="R9" s="533">
        <v>0</v>
      </c>
      <c r="S9" s="534">
        <f t="shared" ref="S9:S21" si="0">$C$6*SUM(C9:D9)+$E$6*SUM(E9:F9)+$G$6*SUM(G9:H9)+$I$6*SUM(I9:J9)+$K$6*SUM(K9:L9)+$M$6*SUM(M9:N9)+$O$6*SUM(O9:P9)+$Q$6*SUM(Q9:R9)</f>
        <v>0</v>
      </c>
    </row>
    <row r="10" spans="1:19">
      <c r="A10" s="122">
        <v>3</v>
      </c>
      <c r="B10" s="1" t="s">
        <v>269</v>
      </c>
      <c r="C10" s="532">
        <v>0</v>
      </c>
      <c r="D10" s="532">
        <v>0</v>
      </c>
      <c r="E10" s="532">
        <v>0</v>
      </c>
      <c r="F10" s="532">
        <v>0</v>
      </c>
      <c r="G10" s="532">
        <v>0</v>
      </c>
      <c r="H10" s="532">
        <v>0</v>
      </c>
      <c r="I10" s="532">
        <v>0</v>
      </c>
      <c r="J10" s="532">
        <v>0</v>
      </c>
      <c r="K10" s="532">
        <v>0</v>
      </c>
      <c r="L10" s="532">
        <v>0</v>
      </c>
      <c r="M10" s="532">
        <v>0</v>
      </c>
      <c r="N10" s="532">
        <v>0</v>
      </c>
      <c r="O10" s="532">
        <v>0</v>
      </c>
      <c r="P10" s="532">
        <v>0</v>
      </c>
      <c r="Q10" s="532">
        <v>0</v>
      </c>
      <c r="R10" s="533">
        <v>0</v>
      </c>
      <c r="S10" s="534">
        <f t="shared" si="0"/>
        <v>0</v>
      </c>
    </row>
    <row r="11" spans="1:19">
      <c r="A11" s="122">
        <v>4</v>
      </c>
      <c r="B11" s="1" t="s">
        <v>98</v>
      </c>
      <c r="C11" s="532">
        <v>0</v>
      </c>
      <c r="D11" s="532">
        <v>0</v>
      </c>
      <c r="E11" s="532">
        <v>0</v>
      </c>
      <c r="F11" s="532">
        <v>0</v>
      </c>
      <c r="G11" s="532">
        <v>0</v>
      </c>
      <c r="H11" s="532">
        <v>0</v>
      </c>
      <c r="I11" s="532">
        <v>0</v>
      </c>
      <c r="J11" s="532">
        <v>0</v>
      </c>
      <c r="K11" s="532">
        <v>0</v>
      </c>
      <c r="L11" s="532">
        <v>0</v>
      </c>
      <c r="M11" s="532">
        <v>0</v>
      </c>
      <c r="N11" s="532">
        <v>0</v>
      </c>
      <c r="O11" s="532">
        <v>0</v>
      </c>
      <c r="P11" s="532">
        <v>0</v>
      </c>
      <c r="Q11" s="532">
        <v>0</v>
      </c>
      <c r="R11" s="533">
        <v>0</v>
      </c>
      <c r="S11" s="534">
        <f t="shared" si="0"/>
        <v>0</v>
      </c>
    </row>
    <row r="12" spans="1:19">
      <c r="A12" s="122">
        <v>5</v>
      </c>
      <c r="B12" s="1" t="s">
        <v>99</v>
      </c>
      <c r="C12" s="532">
        <v>0</v>
      </c>
      <c r="D12" s="532">
        <v>0</v>
      </c>
      <c r="E12" s="532">
        <v>0</v>
      </c>
      <c r="F12" s="532">
        <v>0</v>
      </c>
      <c r="G12" s="532">
        <v>0</v>
      </c>
      <c r="H12" s="532">
        <v>0</v>
      </c>
      <c r="I12" s="532">
        <v>0</v>
      </c>
      <c r="J12" s="532">
        <v>0</v>
      </c>
      <c r="K12" s="532">
        <v>0</v>
      </c>
      <c r="L12" s="532">
        <v>0</v>
      </c>
      <c r="M12" s="532">
        <v>0</v>
      </c>
      <c r="N12" s="532">
        <v>0</v>
      </c>
      <c r="O12" s="532">
        <v>0</v>
      </c>
      <c r="P12" s="532">
        <v>0</v>
      </c>
      <c r="Q12" s="532">
        <v>0</v>
      </c>
      <c r="R12" s="533">
        <v>0</v>
      </c>
      <c r="S12" s="534">
        <f t="shared" si="0"/>
        <v>0</v>
      </c>
    </row>
    <row r="13" spans="1:19">
      <c r="A13" s="122">
        <v>6</v>
      </c>
      <c r="B13" s="1" t="s">
        <v>100</v>
      </c>
      <c r="C13" s="532">
        <v>0</v>
      </c>
      <c r="D13" s="532">
        <v>0</v>
      </c>
      <c r="E13" s="532">
        <v>11085369.120000001</v>
      </c>
      <c r="F13" s="532">
        <v>0</v>
      </c>
      <c r="G13" s="532">
        <v>0</v>
      </c>
      <c r="H13" s="532">
        <v>0</v>
      </c>
      <c r="I13" s="532">
        <v>8500896.8600000013</v>
      </c>
      <c r="J13" s="532">
        <v>0</v>
      </c>
      <c r="K13" s="532">
        <v>0</v>
      </c>
      <c r="L13" s="532">
        <v>0</v>
      </c>
      <c r="M13" s="532">
        <v>3598003.66</v>
      </c>
      <c r="N13" s="532">
        <v>0</v>
      </c>
      <c r="O13" s="532">
        <v>0</v>
      </c>
      <c r="P13" s="532">
        <v>0</v>
      </c>
      <c r="Q13" s="532">
        <v>0</v>
      </c>
      <c r="R13" s="533">
        <v>0</v>
      </c>
      <c r="S13" s="534">
        <f t="shared" si="0"/>
        <v>10065525.914000001</v>
      </c>
    </row>
    <row r="14" spans="1:19">
      <c r="A14" s="122">
        <v>7</v>
      </c>
      <c r="B14" s="1" t="s">
        <v>101</v>
      </c>
      <c r="C14" s="532">
        <v>0</v>
      </c>
      <c r="D14" s="532">
        <v>0</v>
      </c>
      <c r="E14" s="532">
        <v>0</v>
      </c>
      <c r="F14" s="532">
        <v>0</v>
      </c>
      <c r="G14" s="532">
        <v>0</v>
      </c>
      <c r="H14" s="532">
        <v>0</v>
      </c>
      <c r="I14" s="532">
        <v>0</v>
      </c>
      <c r="J14" s="532">
        <v>0</v>
      </c>
      <c r="K14" s="532">
        <v>0</v>
      </c>
      <c r="L14" s="532">
        <v>0</v>
      </c>
      <c r="M14" s="532">
        <v>483891756.22999769</v>
      </c>
      <c r="N14" s="532">
        <v>32315468.983999994</v>
      </c>
      <c r="O14" s="532">
        <v>0</v>
      </c>
      <c r="P14" s="532">
        <v>0</v>
      </c>
      <c r="Q14" s="532">
        <v>0</v>
      </c>
      <c r="R14" s="533">
        <v>0</v>
      </c>
      <c r="S14" s="534">
        <f t="shared" si="0"/>
        <v>516207225.21399766</v>
      </c>
    </row>
    <row r="15" spans="1:19">
      <c r="A15" s="122">
        <v>8</v>
      </c>
      <c r="B15" s="1" t="s">
        <v>102</v>
      </c>
      <c r="C15" s="532">
        <v>0</v>
      </c>
      <c r="D15" s="532">
        <v>0</v>
      </c>
      <c r="E15" s="532">
        <v>0</v>
      </c>
      <c r="F15" s="532">
        <v>0</v>
      </c>
      <c r="G15" s="532">
        <v>0</v>
      </c>
      <c r="H15" s="532">
        <v>0</v>
      </c>
      <c r="I15" s="532">
        <v>0</v>
      </c>
      <c r="J15" s="532">
        <v>0</v>
      </c>
      <c r="K15" s="532">
        <v>275776498.91999996</v>
      </c>
      <c r="L15" s="532">
        <v>6325173.1279999949</v>
      </c>
      <c r="M15" s="532">
        <v>0</v>
      </c>
      <c r="N15" s="532">
        <v>0</v>
      </c>
      <c r="O15" s="532">
        <v>0</v>
      </c>
      <c r="P15" s="532">
        <v>0</v>
      </c>
      <c r="Q15" s="532">
        <v>0</v>
      </c>
      <c r="R15" s="533">
        <v>0</v>
      </c>
      <c r="S15" s="534">
        <f t="shared" si="0"/>
        <v>211576254.03599998</v>
      </c>
    </row>
    <row r="16" spans="1:19">
      <c r="A16" s="122">
        <v>9</v>
      </c>
      <c r="B16" s="1" t="s">
        <v>103</v>
      </c>
      <c r="C16" s="532">
        <v>0</v>
      </c>
      <c r="D16" s="532">
        <v>0</v>
      </c>
      <c r="E16" s="532">
        <v>0</v>
      </c>
      <c r="F16" s="532">
        <v>0</v>
      </c>
      <c r="G16" s="532">
        <v>120685364.31999989</v>
      </c>
      <c r="H16" s="532">
        <v>773879.58</v>
      </c>
      <c r="I16" s="532">
        <v>0</v>
      </c>
      <c r="J16" s="532">
        <v>0</v>
      </c>
      <c r="K16" s="532">
        <v>0</v>
      </c>
      <c r="L16" s="532">
        <v>0</v>
      </c>
      <c r="M16" s="532">
        <v>0</v>
      </c>
      <c r="N16" s="532">
        <v>0</v>
      </c>
      <c r="O16" s="532">
        <v>0</v>
      </c>
      <c r="P16" s="532">
        <v>0</v>
      </c>
      <c r="Q16" s="532">
        <v>0</v>
      </c>
      <c r="R16" s="533">
        <v>0</v>
      </c>
      <c r="S16" s="534">
        <f t="shared" si="0"/>
        <v>42510735.364999957</v>
      </c>
    </row>
    <row r="17" spans="1:19">
      <c r="A17" s="122">
        <v>10</v>
      </c>
      <c r="B17" s="1" t="s">
        <v>104</v>
      </c>
      <c r="C17" s="532">
        <v>0</v>
      </c>
      <c r="D17" s="532">
        <v>0</v>
      </c>
      <c r="E17" s="532">
        <v>0</v>
      </c>
      <c r="F17" s="532">
        <v>0</v>
      </c>
      <c r="G17" s="532">
        <v>0</v>
      </c>
      <c r="H17" s="532">
        <v>0</v>
      </c>
      <c r="I17" s="532">
        <v>2403735.9000000008</v>
      </c>
      <c r="J17" s="532">
        <v>0</v>
      </c>
      <c r="K17" s="532">
        <v>0</v>
      </c>
      <c r="L17" s="532">
        <v>0</v>
      </c>
      <c r="M17" s="532">
        <v>6306674.0699999928</v>
      </c>
      <c r="N17" s="532">
        <v>0</v>
      </c>
      <c r="O17" s="532">
        <v>31.45</v>
      </c>
      <c r="P17" s="532">
        <v>0</v>
      </c>
      <c r="Q17" s="532">
        <v>0</v>
      </c>
      <c r="R17" s="533">
        <v>0</v>
      </c>
      <c r="S17" s="534">
        <f t="shared" si="0"/>
        <v>7508589.1949999928</v>
      </c>
    </row>
    <row r="18" spans="1:19">
      <c r="A18" s="122">
        <v>11</v>
      </c>
      <c r="B18" s="1" t="s">
        <v>105</v>
      </c>
      <c r="C18" s="532">
        <v>0</v>
      </c>
      <c r="D18" s="532">
        <v>0</v>
      </c>
      <c r="E18" s="532">
        <v>0</v>
      </c>
      <c r="F18" s="532">
        <v>0</v>
      </c>
      <c r="G18" s="532">
        <v>0</v>
      </c>
      <c r="H18" s="532">
        <v>0</v>
      </c>
      <c r="I18" s="532">
        <v>0</v>
      </c>
      <c r="J18" s="532">
        <v>0</v>
      </c>
      <c r="K18" s="532">
        <v>0</v>
      </c>
      <c r="L18" s="532">
        <v>0</v>
      </c>
      <c r="M18" s="532">
        <v>35820709.729999945</v>
      </c>
      <c r="N18" s="532">
        <v>0</v>
      </c>
      <c r="O18" s="532">
        <v>5610390.0799999647</v>
      </c>
      <c r="P18" s="532">
        <v>0</v>
      </c>
      <c r="Q18" s="532">
        <v>0</v>
      </c>
      <c r="R18" s="533">
        <v>0</v>
      </c>
      <c r="S18" s="534">
        <f t="shared" si="0"/>
        <v>44236294.84999989</v>
      </c>
    </row>
    <row r="19" spans="1:19">
      <c r="A19" s="122">
        <v>12</v>
      </c>
      <c r="B19" s="1" t="s">
        <v>106</v>
      </c>
      <c r="C19" s="532">
        <v>0</v>
      </c>
      <c r="D19" s="532">
        <v>0</v>
      </c>
      <c r="E19" s="532">
        <v>0</v>
      </c>
      <c r="F19" s="532">
        <v>0</v>
      </c>
      <c r="G19" s="532">
        <v>0</v>
      </c>
      <c r="H19" s="532">
        <v>0</v>
      </c>
      <c r="I19" s="532">
        <v>0</v>
      </c>
      <c r="J19" s="532">
        <v>0</v>
      </c>
      <c r="K19" s="532">
        <v>0</v>
      </c>
      <c r="L19" s="532">
        <v>0</v>
      </c>
      <c r="M19" s="532">
        <v>0</v>
      </c>
      <c r="N19" s="532">
        <v>0</v>
      </c>
      <c r="O19" s="532">
        <v>0</v>
      </c>
      <c r="P19" s="532">
        <v>0</v>
      </c>
      <c r="Q19" s="532">
        <v>0</v>
      </c>
      <c r="R19" s="533">
        <v>0</v>
      </c>
      <c r="S19" s="534">
        <f t="shared" si="0"/>
        <v>0</v>
      </c>
    </row>
    <row r="20" spans="1:19">
      <c r="A20" s="122">
        <v>13</v>
      </c>
      <c r="B20" s="1" t="s">
        <v>247</v>
      </c>
      <c r="C20" s="532">
        <v>0</v>
      </c>
      <c r="D20" s="532">
        <v>0</v>
      </c>
      <c r="E20" s="532">
        <v>0</v>
      </c>
      <c r="F20" s="532">
        <v>0</v>
      </c>
      <c r="G20" s="532">
        <v>0</v>
      </c>
      <c r="H20" s="532">
        <v>0</v>
      </c>
      <c r="I20" s="532">
        <v>0</v>
      </c>
      <c r="J20" s="532">
        <v>0</v>
      </c>
      <c r="K20" s="532">
        <v>0</v>
      </c>
      <c r="L20" s="532">
        <v>0</v>
      </c>
      <c r="M20" s="532">
        <v>0</v>
      </c>
      <c r="N20" s="532">
        <v>0</v>
      </c>
      <c r="O20" s="532">
        <v>0</v>
      </c>
      <c r="P20" s="532">
        <v>0</v>
      </c>
      <c r="Q20" s="532">
        <v>0</v>
      </c>
      <c r="R20" s="533">
        <v>0</v>
      </c>
      <c r="S20" s="534">
        <f t="shared" si="0"/>
        <v>0</v>
      </c>
    </row>
    <row r="21" spans="1:19">
      <c r="A21" s="122">
        <v>14</v>
      </c>
      <c r="B21" s="1" t="s">
        <v>108</v>
      </c>
      <c r="C21" s="532">
        <v>42672650.899999991</v>
      </c>
      <c r="D21" s="532">
        <v>0</v>
      </c>
      <c r="E21" s="532">
        <v>694321.70000000007</v>
      </c>
      <c r="F21" s="532">
        <v>0</v>
      </c>
      <c r="G21" s="532">
        <v>0</v>
      </c>
      <c r="H21" s="532">
        <v>0</v>
      </c>
      <c r="I21" s="532">
        <v>0</v>
      </c>
      <c r="J21" s="532">
        <v>0</v>
      </c>
      <c r="K21" s="532">
        <v>0</v>
      </c>
      <c r="L21" s="532">
        <v>0</v>
      </c>
      <c r="M21" s="532">
        <v>37018493.850000031</v>
      </c>
      <c r="N21" s="532">
        <v>0</v>
      </c>
      <c r="O21" s="532">
        <v>0</v>
      </c>
      <c r="P21" s="532">
        <v>0</v>
      </c>
      <c r="Q21" s="532">
        <v>0</v>
      </c>
      <c r="R21" s="533">
        <v>0</v>
      </c>
      <c r="S21" s="534">
        <f t="shared" si="0"/>
        <v>37157358.190000035</v>
      </c>
    </row>
    <row r="22" spans="1:19" ht="13.5" thickBot="1">
      <c r="A22" s="123"/>
      <c r="B22" s="124" t="s">
        <v>109</v>
      </c>
      <c r="C22" s="225">
        <f>SUM(C8:C21)</f>
        <v>184170510.56</v>
      </c>
      <c r="D22" s="225">
        <f t="shared" ref="D22:S22" si="1">SUM(D8:D21)</f>
        <v>0</v>
      </c>
      <c r="E22" s="225">
        <f t="shared" si="1"/>
        <v>11779690.82</v>
      </c>
      <c r="F22" s="225">
        <f t="shared" si="1"/>
        <v>0</v>
      </c>
      <c r="G22" s="225">
        <f t="shared" si="1"/>
        <v>120685364.31999989</v>
      </c>
      <c r="H22" s="225">
        <f t="shared" si="1"/>
        <v>773879.58</v>
      </c>
      <c r="I22" s="225">
        <f t="shared" si="1"/>
        <v>10904632.760000002</v>
      </c>
      <c r="J22" s="225">
        <f t="shared" si="1"/>
        <v>0</v>
      </c>
      <c r="K22" s="225">
        <f t="shared" si="1"/>
        <v>275776498.91999996</v>
      </c>
      <c r="L22" s="225">
        <f t="shared" si="1"/>
        <v>6325173.1279999949</v>
      </c>
      <c r="M22" s="225">
        <f t="shared" si="1"/>
        <v>718707839.96999764</v>
      </c>
      <c r="N22" s="225">
        <f t="shared" si="1"/>
        <v>32315468.983999994</v>
      </c>
      <c r="O22" s="225">
        <f t="shared" si="1"/>
        <v>5610421.5299999649</v>
      </c>
      <c r="P22" s="225">
        <f t="shared" si="1"/>
        <v>0</v>
      </c>
      <c r="Q22" s="225">
        <f t="shared" si="1"/>
        <v>0</v>
      </c>
      <c r="R22" s="225">
        <f t="shared" si="1"/>
        <v>0</v>
      </c>
      <c r="S22" s="535">
        <f t="shared" si="1"/>
        <v>1021334185.1939976</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R7" activePane="bottomRight" state="frozen"/>
      <selection activeCell="B9" sqref="B9"/>
      <selection pane="topRight" activeCell="B9" sqref="B9"/>
      <selection pane="bottomLeft" activeCell="B9" sqref="B9"/>
      <selection pane="bottomRight" activeCell="T21" sqref="T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0"/>
  </cols>
  <sheetData>
    <row r="1" spans="1:22">
      <c r="A1" s="2" t="s">
        <v>30</v>
      </c>
      <c r="B1" s="3" t="str">
        <f>'Info '!C2</f>
        <v>Terabank</v>
      </c>
    </row>
    <row r="2" spans="1:22">
      <c r="A2" s="2" t="s">
        <v>31</v>
      </c>
      <c r="B2" s="340">
        <v>44377</v>
      </c>
    </row>
    <row r="4" spans="1:22" ht="13.5" thickBot="1">
      <c r="A4" s="4" t="s">
        <v>366</v>
      </c>
      <c r="B4" s="125" t="s">
        <v>95</v>
      </c>
      <c r="V4" s="31" t="s">
        <v>73</v>
      </c>
    </row>
    <row r="5" spans="1:22" ht="12.75" customHeight="1">
      <c r="A5" s="126"/>
      <c r="B5" s="127"/>
      <c r="C5" s="637" t="s">
        <v>277</v>
      </c>
      <c r="D5" s="638"/>
      <c r="E5" s="638"/>
      <c r="F5" s="638"/>
      <c r="G5" s="638"/>
      <c r="H5" s="638"/>
      <c r="I5" s="638"/>
      <c r="J5" s="638"/>
      <c r="K5" s="638"/>
      <c r="L5" s="639"/>
      <c r="M5" s="640" t="s">
        <v>278</v>
      </c>
      <c r="N5" s="641"/>
      <c r="O5" s="641"/>
      <c r="P5" s="641"/>
      <c r="Q5" s="641"/>
      <c r="R5" s="641"/>
      <c r="S5" s="642"/>
      <c r="T5" s="645" t="s">
        <v>364</v>
      </c>
      <c r="U5" s="645" t="s">
        <v>365</v>
      </c>
      <c r="V5" s="643" t="s">
        <v>121</v>
      </c>
    </row>
    <row r="6" spans="1:22" s="76" customFormat="1" ht="102">
      <c r="A6" s="74"/>
      <c r="B6" s="128"/>
      <c r="C6" s="129" t="s">
        <v>110</v>
      </c>
      <c r="D6" s="189" t="s">
        <v>111</v>
      </c>
      <c r="E6" s="148" t="s">
        <v>280</v>
      </c>
      <c r="F6" s="148" t="s">
        <v>281</v>
      </c>
      <c r="G6" s="189" t="s">
        <v>284</v>
      </c>
      <c r="H6" s="189" t="s">
        <v>279</v>
      </c>
      <c r="I6" s="189" t="s">
        <v>112</v>
      </c>
      <c r="J6" s="189" t="s">
        <v>113</v>
      </c>
      <c r="K6" s="130" t="s">
        <v>114</v>
      </c>
      <c r="L6" s="131" t="s">
        <v>115</v>
      </c>
      <c r="M6" s="129" t="s">
        <v>282</v>
      </c>
      <c r="N6" s="130" t="s">
        <v>116</v>
      </c>
      <c r="O6" s="130" t="s">
        <v>117</v>
      </c>
      <c r="P6" s="130" t="s">
        <v>118</v>
      </c>
      <c r="Q6" s="130" t="s">
        <v>119</v>
      </c>
      <c r="R6" s="130" t="s">
        <v>120</v>
      </c>
      <c r="S6" s="212" t="s">
        <v>283</v>
      </c>
      <c r="T6" s="646"/>
      <c r="U6" s="646"/>
      <c r="V6" s="644"/>
    </row>
    <row r="7" spans="1:22">
      <c r="A7" s="132">
        <v>1</v>
      </c>
      <c r="B7" s="1" t="s">
        <v>96</v>
      </c>
      <c r="C7" s="536">
        <v>0</v>
      </c>
      <c r="D7" s="532">
        <v>0</v>
      </c>
      <c r="E7" s="532">
        <v>0</v>
      </c>
      <c r="F7" s="532">
        <v>0</v>
      </c>
      <c r="G7" s="532">
        <v>0</v>
      </c>
      <c r="H7" s="532">
        <v>0</v>
      </c>
      <c r="I7" s="532">
        <v>0</v>
      </c>
      <c r="J7" s="532">
        <v>0</v>
      </c>
      <c r="K7" s="532">
        <v>0</v>
      </c>
      <c r="L7" s="537">
        <v>0</v>
      </c>
      <c r="M7" s="536">
        <v>0</v>
      </c>
      <c r="N7" s="532">
        <v>0</v>
      </c>
      <c r="O7" s="532">
        <v>0</v>
      </c>
      <c r="P7" s="532">
        <v>0</v>
      </c>
      <c r="Q7" s="532">
        <v>0</v>
      </c>
      <c r="R7" s="532">
        <v>0</v>
      </c>
      <c r="S7" s="537">
        <v>0</v>
      </c>
      <c r="T7" s="538">
        <v>0</v>
      </c>
      <c r="U7" s="539">
        <v>0</v>
      </c>
      <c r="V7" s="540">
        <f>SUM(C7:S7)</f>
        <v>0</v>
      </c>
    </row>
    <row r="8" spans="1:22">
      <c r="A8" s="132">
        <v>2</v>
      </c>
      <c r="B8" s="1" t="s">
        <v>97</v>
      </c>
      <c r="C8" s="536">
        <v>0</v>
      </c>
      <c r="D8" s="532">
        <v>0</v>
      </c>
      <c r="E8" s="532">
        <v>0</v>
      </c>
      <c r="F8" s="532">
        <v>0</v>
      </c>
      <c r="G8" s="532">
        <v>0</v>
      </c>
      <c r="H8" s="532">
        <v>0</v>
      </c>
      <c r="I8" s="532">
        <v>0</v>
      </c>
      <c r="J8" s="532">
        <v>0</v>
      </c>
      <c r="K8" s="532">
        <v>0</v>
      </c>
      <c r="L8" s="537">
        <v>0</v>
      </c>
      <c r="M8" s="536">
        <v>0</v>
      </c>
      <c r="N8" s="532">
        <v>0</v>
      </c>
      <c r="O8" s="532">
        <v>0</v>
      </c>
      <c r="P8" s="532">
        <v>0</v>
      </c>
      <c r="Q8" s="532">
        <v>0</v>
      </c>
      <c r="R8" s="532">
        <v>0</v>
      </c>
      <c r="S8" s="537">
        <v>0</v>
      </c>
      <c r="T8" s="539">
        <v>0</v>
      </c>
      <c r="U8" s="539">
        <v>0</v>
      </c>
      <c r="V8" s="540">
        <f t="shared" ref="V8:V20" si="0">SUM(C8:S8)</f>
        <v>0</v>
      </c>
    </row>
    <row r="9" spans="1:22">
      <c r="A9" s="132">
        <v>3</v>
      </c>
      <c r="B9" s="1" t="s">
        <v>270</v>
      </c>
      <c r="C9" s="536">
        <v>0</v>
      </c>
      <c r="D9" s="532">
        <v>0</v>
      </c>
      <c r="E9" s="532">
        <v>0</v>
      </c>
      <c r="F9" s="532">
        <v>0</v>
      </c>
      <c r="G9" s="532">
        <v>0</v>
      </c>
      <c r="H9" s="532">
        <v>0</v>
      </c>
      <c r="I9" s="532">
        <v>0</v>
      </c>
      <c r="J9" s="532">
        <v>0</v>
      </c>
      <c r="K9" s="532">
        <v>0</v>
      </c>
      <c r="L9" s="537">
        <v>0</v>
      </c>
      <c r="M9" s="536">
        <v>0</v>
      </c>
      <c r="N9" s="532">
        <v>0</v>
      </c>
      <c r="O9" s="532">
        <v>0</v>
      </c>
      <c r="P9" s="532">
        <v>0</v>
      </c>
      <c r="Q9" s="532">
        <v>0</v>
      </c>
      <c r="R9" s="532">
        <v>0</v>
      </c>
      <c r="S9" s="537">
        <v>0</v>
      </c>
      <c r="T9" s="539">
        <v>0</v>
      </c>
      <c r="U9" s="539">
        <v>0</v>
      </c>
      <c r="V9" s="540">
        <f>SUM(C9:S9)</f>
        <v>0</v>
      </c>
    </row>
    <row r="10" spans="1:22">
      <c r="A10" s="132">
        <v>4</v>
      </c>
      <c r="B10" s="1" t="s">
        <v>98</v>
      </c>
      <c r="C10" s="536">
        <v>0</v>
      </c>
      <c r="D10" s="532">
        <v>0</v>
      </c>
      <c r="E10" s="532">
        <v>0</v>
      </c>
      <c r="F10" s="532">
        <v>0</v>
      </c>
      <c r="G10" s="532">
        <v>0</v>
      </c>
      <c r="H10" s="532">
        <v>0</v>
      </c>
      <c r="I10" s="532">
        <v>0</v>
      </c>
      <c r="J10" s="532">
        <v>0</v>
      </c>
      <c r="K10" s="532">
        <v>0</v>
      </c>
      <c r="L10" s="537">
        <v>0</v>
      </c>
      <c r="M10" s="536">
        <v>0</v>
      </c>
      <c r="N10" s="532">
        <v>0</v>
      </c>
      <c r="O10" s="532">
        <v>0</v>
      </c>
      <c r="P10" s="532">
        <v>0</v>
      </c>
      <c r="Q10" s="532">
        <v>0</v>
      </c>
      <c r="R10" s="532">
        <v>0</v>
      </c>
      <c r="S10" s="537">
        <v>0</v>
      </c>
      <c r="T10" s="539">
        <v>0</v>
      </c>
      <c r="U10" s="539">
        <v>0</v>
      </c>
      <c r="V10" s="540">
        <f t="shared" si="0"/>
        <v>0</v>
      </c>
    </row>
    <row r="11" spans="1:22">
      <c r="A11" s="132">
        <v>5</v>
      </c>
      <c r="B11" s="1" t="s">
        <v>99</v>
      </c>
      <c r="C11" s="536">
        <v>0</v>
      </c>
      <c r="D11" s="532">
        <v>0</v>
      </c>
      <c r="E11" s="532">
        <v>0</v>
      </c>
      <c r="F11" s="532">
        <v>0</v>
      </c>
      <c r="G11" s="532">
        <v>0</v>
      </c>
      <c r="H11" s="532">
        <v>0</v>
      </c>
      <c r="I11" s="532">
        <v>0</v>
      </c>
      <c r="J11" s="532">
        <v>0</v>
      </c>
      <c r="K11" s="532">
        <v>0</v>
      </c>
      <c r="L11" s="537">
        <v>0</v>
      </c>
      <c r="M11" s="536">
        <v>0</v>
      </c>
      <c r="N11" s="532">
        <v>0</v>
      </c>
      <c r="O11" s="532">
        <v>0</v>
      </c>
      <c r="P11" s="532">
        <v>0</v>
      </c>
      <c r="Q11" s="532">
        <v>0</v>
      </c>
      <c r="R11" s="532">
        <v>0</v>
      </c>
      <c r="S11" s="537">
        <v>0</v>
      </c>
      <c r="T11" s="539">
        <v>0</v>
      </c>
      <c r="U11" s="539">
        <v>0</v>
      </c>
      <c r="V11" s="540">
        <f t="shared" si="0"/>
        <v>0</v>
      </c>
    </row>
    <row r="12" spans="1:22">
      <c r="A12" s="132">
        <v>6</v>
      </c>
      <c r="B12" s="1" t="s">
        <v>100</v>
      </c>
      <c r="C12" s="536">
        <v>0</v>
      </c>
      <c r="D12" s="532">
        <v>0</v>
      </c>
      <c r="E12" s="532">
        <v>0</v>
      </c>
      <c r="F12" s="532">
        <v>0</v>
      </c>
      <c r="G12" s="532">
        <v>0</v>
      </c>
      <c r="H12" s="532">
        <v>0</v>
      </c>
      <c r="I12" s="532">
        <v>0</v>
      </c>
      <c r="J12" s="532">
        <v>0</v>
      </c>
      <c r="K12" s="532">
        <v>0</v>
      </c>
      <c r="L12" s="537">
        <v>0</v>
      </c>
      <c r="M12" s="536">
        <v>0</v>
      </c>
      <c r="N12" s="532">
        <v>0</v>
      </c>
      <c r="O12" s="532">
        <v>0</v>
      </c>
      <c r="P12" s="532">
        <v>0</v>
      </c>
      <c r="Q12" s="532">
        <v>0</v>
      </c>
      <c r="R12" s="532">
        <v>0</v>
      </c>
      <c r="S12" s="537">
        <v>0</v>
      </c>
      <c r="T12" s="539">
        <v>0</v>
      </c>
      <c r="U12" s="539">
        <v>0</v>
      </c>
      <c r="V12" s="540">
        <f t="shared" si="0"/>
        <v>0</v>
      </c>
    </row>
    <row r="13" spans="1:22">
      <c r="A13" s="132">
        <v>7</v>
      </c>
      <c r="B13" s="1" t="s">
        <v>101</v>
      </c>
      <c r="C13" s="536">
        <v>0</v>
      </c>
      <c r="D13" s="532">
        <v>37791314.295000002</v>
      </c>
      <c r="E13" s="532">
        <v>0</v>
      </c>
      <c r="F13" s="532">
        <v>0</v>
      </c>
      <c r="G13" s="532">
        <v>0</v>
      </c>
      <c r="H13" s="532">
        <v>0</v>
      </c>
      <c r="I13" s="532">
        <v>0</v>
      </c>
      <c r="J13" s="532">
        <v>0</v>
      </c>
      <c r="K13" s="532">
        <v>0</v>
      </c>
      <c r="L13" s="537">
        <v>0</v>
      </c>
      <c r="M13" s="536">
        <v>0</v>
      </c>
      <c r="N13" s="532">
        <v>0</v>
      </c>
      <c r="O13" s="532">
        <v>0</v>
      </c>
      <c r="P13" s="532">
        <v>0</v>
      </c>
      <c r="Q13" s="532">
        <v>0</v>
      </c>
      <c r="R13" s="532">
        <v>0</v>
      </c>
      <c r="S13" s="537">
        <v>0</v>
      </c>
      <c r="T13" s="539">
        <v>25297501.230000004</v>
      </c>
      <c r="U13" s="539">
        <v>12493813.065000001</v>
      </c>
      <c r="V13" s="540">
        <f t="shared" si="0"/>
        <v>37791314.295000002</v>
      </c>
    </row>
    <row r="14" spans="1:22">
      <c r="A14" s="132">
        <v>8</v>
      </c>
      <c r="B14" s="1" t="s">
        <v>102</v>
      </c>
      <c r="C14" s="536">
        <v>0</v>
      </c>
      <c r="D14" s="532">
        <v>3385415.4247500002</v>
      </c>
      <c r="E14" s="532">
        <v>0</v>
      </c>
      <c r="F14" s="532">
        <v>0</v>
      </c>
      <c r="G14" s="532">
        <v>0</v>
      </c>
      <c r="H14" s="532">
        <v>0</v>
      </c>
      <c r="I14" s="532">
        <v>0</v>
      </c>
      <c r="J14" s="532">
        <v>0</v>
      </c>
      <c r="K14" s="532">
        <v>0</v>
      </c>
      <c r="L14" s="537">
        <v>0</v>
      </c>
      <c r="M14" s="536">
        <v>0</v>
      </c>
      <c r="N14" s="532">
        <v>0</v>
      </c>
      <c r="O14" s="532">
        <v>0</v>
      </c>
      <c r="P14" s="532">
        <v>0</v>
      </c>
      <c r="Q14" s="532">
        <v>0</v>
      </c>
      <c r="R14" s="532">
        <v>0</v>
      </c>
      <c r="S14" s="537">
        <v>0</v>
      </c>
      <c r="T14" s="539">
        <v>2887176.6675</v>
      </c>
      <c r="U14" s="539">
        <v>498238.75725000002</v>
      </c>
      <c r="V14" s="540">
        <f t="shared" si="0"/>
        <v>3385415.4247500002</v>
      </c>
    </row>
    <row r="15" spans="1:22">
      <c r="A15" s="132">
        <v>9</v>
      </c>
      <c r="B15" s="1" t="s">
        <v>103</v>
      </c>
      <c r="C15" s="536">
        <v>0</v>
      </c>
      <c r="D15" s="532">
        <v>0</v>
      </c>
      <c r="E15" s="532">
        <v>0</v>
      </c>
      <c r="F15" s="532">
        <v>0</v>
      </c>
      <c r="G15" s="532">
        <v>0</v>
      </c>
      <c r="H15" s="532">
        <v>0</v>
      </c>
      <c r="I15" s="532">
        <v>0</v>
      </c>
      <c r="J15" s="532">
        <v>0</v>
      </c>
      <c r="K15" s="532">
        <v>0</v>
      </c>
      <c r="L15" s="537">
        <v>0</v>
      </c>
      <c r="M15" s="536">
        <v>0</v>
      </c>
      <c r="N15" s="532">
        <v>0</v>
      </c>
      <c r="O15" s="532">
        <v>0</v>
      </c>
      <c r="P15" s="532">
        <v>0</v>
      </c>
      <c r="Q15" s="532">
        <v>0</v>
      </c>
      <c r="R15" s="532">
        <v>0</v>
      </c>
      <c r="S15" s="537">
        <v>0</v>
      </c>
      <c r="T15" s="539">
        <v>0</v>
      </c>
      <c r="U15" s="539">
        <v>0</v>
      </c>
      <c r="V15" s="540">
        <f t="shared" si="0"/>
        <v>0</v>
      </c>
    </row>
    <row r="16" spans="1:22">
      <c r="A16" s="132">
        <v>10</v>
      </c>
      <c r="B16" s="1" t="s">
        <v>104</v>
      </c>
      <c r="C16" s="536">
        <v>0</v>
      </c>
      <c r="D16" s="532">
        <v>0.33</v>
      </c>
      <c r="E16" s="532">
        <v>0</v>
      </c>
      <c r="F16" s="532">
        <v>0</v>
      </c>
      <c r="G16" s="532">
        <v>0</v>
      </c>
      <c r="H16" s="532">
        <v>0</v>
      </c>
      <c r="I16" s="532">
        <v>0</v>
      </c>
      <c r="J16" s="532">
        <v>0</v>
      </c>
      <c r="K16" s="532">
        <v>0</v>
      </c>
      <c r="L16" s="537">
        <v>0</v>
      </c>
      <c r="M16" s="536">
        <v>0</v>
      </c>
      <c r="N16" s="532">
        <v>0</v>
      </c>
      <c r="O16" s="532">
        <v>0</v>
      </c>
      <c r="P16" s="532">
        <v>0</v>
      </c>
      <c r="Q16" s="532">
        <v>0</v>
      </c>
      <c r="R16" s="532">
        <v>0</v>
      </c>
      <c r="S16" s="537">
        <v>0</v>
      </c>
      <c r="T16" s="539">
        <v>0.33</v>
      </c>
      <c r="U16" s="539">
        <v>0</v>
      </c>
      <c r="V16" s="540">
        <f t="shared" si="0"/>
        <v>0.33</v>
      </c>
    </row>
    <row r="17" spans="1:22">
      <c r="A17" s="132">
        <v>11</v>
      </c>
      <c r="B17" s="1" t="s">
        <v>105</v>
      </c>
      <c r="C17" s="536">
        <v>0</v>
      </c>
      <c r="D17" s="532">
        <v>52561.009999999995</v>
      </c>
      <c r="E17" s="532">
        <v>0</v>
      </c>
      <c r="F17" s="532">
        <v>0</v>
      </c>
      <c r="G17" s="532">
        <v>0</v>
      </c>
      <c r="H17" s="532">
        <v>0</v>
      </c>
      <c r="I17" s="532">
        <v>0</v>
      </c>
      <c r="J17" s="532">
        <v>0</v>
      </c>
      <c r="K17" s="532">
        <v>0</v>
      </c>
      <c r="L17" s="537">
        <v>0</v>
      </c>
      <c r="M17" s="536">
        <v>0</v>
      </c>
      <c r="N17" s="532">
        <v>0</v>
      </c>
      <c r="O17" s="532">
        <v>0</v>
      </c>
      <c r="P17" s="532">
        <v>0</v>
      </c>
      <c r="Q17" s="532">
        <v>0</v>
      </c>
      <c r="R17" s="532">
        <v>0</v>
      </c>
      <c r="S17" s="537">
        <v>0</v>
      </c>
      <c r="T17" s="539">
        <v>52561.009999999995</v>
      </c>
      <c r="U17" s="539">
        <v>0</v>
      </c>
      <c r="V17" s="540">
        <f t="shared" si="0"/>
        <v>52561.009999999995</v>
      </c>
    </row>
    <row r="18" spans="1:22">
      <c r="A18" s="132">
        <v>12</v>
      </c>
      <c r="B18" s="1" t="s">
        <v>106</v>
      </c>
      <c r="C18" s="536">
        <v>0</v>
      </c>
      <c r="D18" s="532">
        <v>0</v>
      </c>
      <c r="E18" s="532">
        <v>0</v>
      </c>
      <c r="F18" s="532">
        <v>0</v>
      </c>
      <c r="G18" s="532">
        <v>0</v>
      </c>
      <c r="H18" s="532">
        <v>0</v>
      </c>
      <c r="I18" s="532">
        <v>0</v>
      </c>
      <c r="J18" s="532">
        <v>0</v>
      </c>
      <c r="K18" s="532">
        <v>0</v>
      </c>
      <c r="L18" s="537">
        <v>0</v>
      </c>
      <c r="M18" s="536">
        <v>0</v>
      </c>
      <c r="N18" s="532">
        <v>0</v>
      </c>
      <c r="O18" s="532">
        <v>0</v>
      </c>
      <c r="P18" s="532">
        <v>0</v>
      </c>
      <c r="Q18" s="532">
        <v>0</v>
      </c>
      <c r="R18" s="532">
        <v>0</v>
      </c>
      <c r="S18" s="537">
        <v>0</v>
      </c>
      <c r="T18" s="539">
        <v>0</v>
      </c>
      <c r="U18" s="539">
        <v>0</v>
      </c>
      <c r="V18" s="540">
        <f t="shared" si="0"/>
        <v>0</v>
      </c>
    </row>
    <row r="19" spans="1:22">
      <c r="A19" s="132">
        <v>13</v>
      </c>
      <c r="B19" s="1" t="s">
        <v>107</v>
      </c>
      <c r="C19" s="536">
        <v>0</v>
      </c>
      <c r="D19" s="532">
        <v>0</v>
      </c>
      <c r="E19" s="532">
        <v>0</v>
      </c>
      <c r="F19" s="532">
        <v>0</v>
      </c>
      <c r="G19" s="532">
        <v>0</v>
      </c>
      <c r="H19" s="532">
        <v>0</v>
      </c>
      <c r="I19" s="532">
        <v>0</v>
      </c>
      <c r="J19" s="532">
        <v>0</v>
      </c>
      <c r="K19" s="532">
        <v>0</v>
      </c>
      <c r="L19" s="537">
        <v>0</v>
      </c>
      <c r="M19" s="536">
        <v>0</v>
      </c>
      <c r="N19" s="532">
        <v>0</v>
      </c>
      <c r="O19" s="532">
        <v>0</v>
      </c>
      <c r="P19" s="532">
        <v>0</v>
      </c>
      <c r="Q19" s="532">
        <v>0</v>
      </c>
      <c r="R19" s="532">
        <v>0</v>
      </c>
      <c r="S19" s="537">
        <v>0</v>
      </c>
      <c r="T19" s="539">
        <v>0</v>
      </c>
      <c r="U19" s="539">
        <v>0</v>
      </c>
      <c r="V19" s="540">
        <f t="shared" si="0"/>
        <v>0</v>
      </c>
    </row>
    <row r="20" spans="1:22">
      <c r="A20" s="132">
        <v>14</v>
      </c>
      <c r="B20" s="1" t="s">
        <v>108</v>
      </c>
      <c r="C20" s="536">
        <v>0</v>
      </c>
      <c r="D20" s="532">
        <v>0</v>
      </c>
      <c r="E20" s="532">
        <v>0</v>
      </c>
      <c r="F20" s="532">
        <v>0</v>
      </c>
      <c r="G20" s="532">
        <v>0</v>
      </c>
      <c r="H20" s="532">
        <v>0</v>
      </c>
      <c r="I20" s="532">
        <v>0</v>
      </c>
      <c r="J20" s="532">
        <v>0</v>
      </c>
      <c r="K20" s="532">
        <v>0</v>
      </c>
      <c r="L20" s="537">
        <v>0</v>
      </c>
      <c r="M20" s="536">
        <v>0</v>
      </c>
      <c r="N20" s="532">
        <v>0</v>
      </c>
      <c r="O20" s="532">
        <v>0</v>
      </c>
      <c r="P20" s="532">
        <v>0</v>
      </c>
      <c r="Q20" s="532">
        <v>0</v>
      </c>
      <c r="R20" s="532">
        <v>0</v>
      </c>
      <c r="S20" s="537">
        <v>0</v>
      </c>
      <c r="T20" s="539">
        <v>0</v>
      </c>
      <c r="U20" s="539">
        <v>0</v>
      </c>
      <c r="V20" s="540">
        <f t="shared" si="0"/>
        <v>0</v>
      </c>
    </row>
    <row r="21" spans="1:22" ht="13.5" thickBot="1">
      <c r="A21" s="123"/>
      <c r="B21" s="133" t="s">
        <v>109</v>
      </c>
      <c r="C21" s="541">
        <f>SUM(C7:C20)</f>
        <v>0</v>
      </c>
      <c r="D21" s="542">
        <f t="shared" ref="D21:V21" si="1">SUM(D7:D20)</f>
        <v>41229291.059749998</v>
      </c>
      <c r="E21" s="542">
        <f t="shared" si="1"/>
        <v>0</v>
      </c>
      <c r="F21" s="542">
        <f t="shared" si="1"/>
        <v>0</v>
      </c>
      <c r="G21" s="542">
        <f t="shared" si="1"/>
        <v>0</v>
      </c>
      <c r="H21" s="542">
        <f t="shared" si="1"/>
        <v>0</v>
      </c>
      <c r="I21" s="542">
        <f t="shared" si="1"/>
        <v>0</v>
      </c>
      <c r="J21" s="542">
        <f t="shared" si="1"/>
        <v>0</v>
      </c>
      <c r="K21" s="542">
        <f t="shared" si="1"/>
        <v>0</v>
      </c>
      <c r="L21" s="535">
        <f t="shared" si="1"/>
        <v>0</v>
      </c>
      <c r="M21" s="541">
        <f t="shared" si="1"/>
        <v>0</v>
      </c>
      <c r="N21" s="542">
        <f t="shared" si="1"/>
        <v>0</v>
      </c>
      <c r="O21" s="542">
        <f t="shared" si="1"/>
        <v>0</v>
      </c>
      <c r="P21" s="542">
        <f t="shared" si="1"/>
        <v>0</v>
      </c>
      <c r="Q21" s="542">
        <f t="shared" si="1"/>
        <v>0</v>
      </c>
      <c r="R21" s="542">
        <f t="shared" si="1"/>
        <v>0</v>
      </c>
      <c r="S21" s="535">
        <f t="shared" si="1"/>
        <v>0</v>
      </c>
      <c r="T21" s="535">
        <f>SUM(T7:T20)</f>
        <v>28237239.237500004</v>
      </c>
      <c r="U21" s="535">
        <f t="shared" si="1"/>
        <v>12992051.822250001</v>
      </c>
      <c r="V21" s="543">
        <f t="shared" si="1"/>
        <v>41229291.059749998</v>
      </c>
    </row>
    <row r="24" spans="1:22">
      <c r="C24" s="53"/>
      <c r="D24" s="53"/>
      <c r="E24" s="53"/>
    </row>
    <row r="25" spans="1:22">
      <c r="A25" s="73"/>
      <c r="B25" s="73"/>
      <c r="D25" s="53"/>
      <c r="E25" s="53"/>
    </row>
    <row r="26" spans="1:22">
      <c r="A26" s="73"/>
      <c r="B26" s="54"/>
      <c r="D26" s="53"/>
      <c r="E26" s="53"/>
    </row>
    <row r="27" spans="1:22">
      <c r="A27" s="73"/>
      <c r="B27" s="73"/>
      <c r="D27" s="53"/>
      <c r="E27" s="53"/>
    </row>
    <row r="28" spans="1:22">
      <c r="A28" s="73"/>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101.85546875" style="4" customWidth="1"/>
    <col min="3" max="3" width="13.7109375" style="194" customWidth="1"/>
    <col min="4" max="4" width="14.85546875" style="194" bestFit="1" customWidth="1"/>
    <col min="5" max="5" width="17.7109375" style="194" customWidth="1"/>
    <col min="6" max="6" width="15.85546875" style="194" customWidth="1"/>
    <col min="7" max="7" width="17.42578125" style="194" customWidth="1"/>
    <col min="8" max="8" width="15.28515625" style="194" customWidth="1"/>
    <col min="9" max="16384" width="9.140625" style="30"/>
  </cols>
  <sheetData>
    <row r="1" spans="1:9">
      <c r="A1" s="2" t="s">
        <v>30</v>
      </c>
      <c r="B1" s="4" t="str">
        <f>'Info '!C2</f>
        <v>Terabank</v>
      </c>
      <c r="C1" s="3">
        <f>'Info '!D2</f>
        <v>0</v>
      </c>
    </row>
    <row r="2" spans="1:9">
      <c r="A2" s="2" t="s">
        <v>31</v>
      </c>
      <c r="C2" s="340">
        <v>44377</v>
      </c>
    </row>
    <row r="4" spans="1:9" ht="13.5" thickBot="1">
      <c r="A4" s="2" t="s">
        <v>253</v>
      </c>
      <c r="B4" s="125" t="s">
        <v>376</v>
      </c>
    </row>
    <row r="5" spans="1:9">
      <c r="A5" s="126"/>
      <c r="B5" s="134"/>
      <c r="C5" s="221" t="s">
        <v>0</v>
      </c>
      <c r="D5" s="221" t="s">
        <v>1</v>
      </c>
      <c r="E5" s="221" t="s">
        <v>2</v>
      </c>
      <c r="F5" s="221" t="s">
        <v>3</v>
      </c>
      <c r="G5" s="222" t="s">
        <v>4</v>
      </c>
      <c r="H5" s="223" t="s">
        <v>5</v>
      </c>
      <c r="I5" s="135"/>
    </row>
    <row r="6" spans="1:9" s="135" customFormat="1" ht="12.75" customHeight="1">
      <c r="A6" s="136"/>
      <c r="B6" s="649" t="s">
        <v>252</v>
      </c>
      <c r="C6" s="635" t="s">
        <v>368</v>
      </c>
      <c r="D6" s="651" t="s">
        <v>367</v>
      </c>
      <c r="E6" s="652"/>
      <c r="F6" s="635" t="s">
        <v>372</v>
      </c>
      <c r="G6" s="635" t="s">
        <v>373</v>
      </c>
      <c r="H6" s="647" t="s">
        <v>371</v>
      </c>
    </row>
    <row r="7" spans="1:9" ht="38.25">
      <c r="A7" s="138"/>
      <c r="B7" s="650"/>
      <c r="C7" s="636"/>
      <c r="D7" s="224" t="s">
        <v>370</v>
      </c>
      <c r="E7" s="224" t="s">
        <v>369</v>
      </c>
      <c r="F7" s="636"/>
      <c r="G7" s="636"/>
      <c r="H7" s="648"/>
      <c r="I7" s="135"/>
    </row>
    <row r="8" spans="1:9">
      <c r="A8" s="136">
        <v>1</v>
      </c>
      <c r="B8" s="1" t="s">
        <v>96</v>
      </c>
      <c r="C8" s="544">
        <v>293570062.09000003</v>
      </c>
      <c r="D8" s="545">
        <v>0</v>
      </c>
      <c r="E8" s="544">
        <v>0</v>
      </c>
      <c r="F8" s="544">
        <v>152072202.43000001</v>
      </c>
      <c r="G8" s="546">
        <v>152072202.43000001</v>
      </c>
      <c r="H8" s="547">
        <f>G8/(C8+E8)</f>
        <v>0.51800991336568614</v>
      </c>
    </row>
    <row r="9" spans="1:9" ht="15" customHeight="1">
      <c r="A9" s="136">
        <v>2</v>
      </c>
      <c r="B9" s="1" t="s">
        <v>97</v>
      </c>
      <c r="C9" s="544">
        <v>0</v>
      </c>
      <c r="D9" s="545">
        <v>0</v>
      </c>
      <c r="E9" s="544">
        <v>0</v>
      </c>
      <c r="F9" s="544">
        <v>0</v>
      </c>
      <c r="G9" s="546">
        <v>0</v>
      </c>
      <c r="H9" s="547"/>
    </row>
    <row r="10" spans="1:9">
      <c r="A10" s="136">
        <v>3</v>
      </c>
      <c r="B10" s="1" t="s">
        <v>270</v>
      </c>
      <c r="C10" s="544">
        <v>0</v>
      </c>
      <c r="D10" s="545">
        <v>0</v>
      </c>
      <c r="E10" s="544">
        <v>0</v>
      </c>
      <c r="F10" s="544">
        <v>0</v>
      </c>
      <c r="G10" s="546">
        <v>0</v>
      </c>
      <c r="H10" s="547"/>
    </row>
    <row r="11" spans="1:9">
      <c r="A11" s="136">
        <v>4</v>
      </c>
      <c r="B11" s="1" t="s">
        <v>98</v>
      </c>
      <c r="C11" s="544">
        <v>0</v>
      </c>
      <c r="D11" s="545">
        <v>0</v>
      </c>
      <c r="E11" s="544">
        <v>0</v>
      </c>
      <c r="F11" s="544">
        <v>0</v>
      </c>
      <c r="G11" s="546">
        <v>0</v>
      </c>
      <c r="H11" s="547"/>
    </row>
    <row r="12" spans="1:9">
      <c r="A12" s="136">
        <v>5</v>
      </c>
      <c r="B12" s="1" t="s">
        <v>99</v>
      </c>
      <c r="C12" s="544">
        <v>0</v>
      </c>
      <c r="D12" s="545">
        <v>0</v>
      </c>
      <c r="E12" s="544">
        <v>0</v>
      </c>
      <c r="F12" s="544">
        <v>0</v>
      </c>
      <c r="G12" s="546">
        <v>0</v>
      </c>
      <c r="H12" s="547"/>
    </row>
    <row r="13" spans="1:9">
      <c r="A13" s="136">
        <v>6</v>
      </c>
      <c r="B13" s="1" t="s">
        <v>100</v>
      </c>
      <c r="C13" s="544">
        <v>23184269.640000004</v>
      </c>
      <c r="D13" s="545">
        <v>0</v>
      </c>
      <c r="E13" s="544">
        <v>0</v>
      </c>
      <c r="F13" s="544">
        <v>10065525.914000001</v>
      </c>
      <c r="G13" s="546">
        <v>10065525.914000001</v>
      </c>
      <c r="H13" s="547">
        <f t="shared" ref="H13:H21" si="0">G13/(C13+E13)</f>
        <v>0.43415324572631214</v>
      </c>
    </row>
    <row r="14" spans="1:9">
      <c r="A14" s="136">
        <v>7</v>
      </c>
      <c r="B14" s="1" t="s">
        <v>101</v>
      </c>
      <c r="C14" s="544">
        <v>483891756.22999769</v>
      </c>
      <c r="D14" s="545">
        <v>59548417.609999992</v>
      </c>
      <c r="E14" s="544">
        <v>32315468.983999994</v>
      </c>
      <c r="F14" s="545">
        <v>516207225.21399766</v>
      </c>
      <c r="G14" s="548">
        <v>478415910.91899765</v>
      </c>
      <c r="H14" s="547">
        <f>G14/(C14+E14)</f>
        <v>0.926790419720814</v>
      </c>
    </row>
    <row r="15" spans="1:9">
      <c r="A15" s="136">
        <v>8</v>
      </c>
      <c r="B15" s="1" t="s">
        <v>102</v>
      </c>
      <c r="C15" s="544">
        <v>275776498.91999996</v>
      </c>
      <c r="D15" s="545">
        <v>13664999.500000004</v>
      </c>
      <c r="E15" s="544">
        <v>6325173.1279999949</v>
      </c>
      <c r="F15" s="545">
        <v>211576254.03599998</v>
      </c>
      <c r="G15" s="548">
        <v>208190838.61124998</v>
      </c>
      <c r="H15" s="547">
        <f t="shared" si="0"/>
        <v>0.73799930748310505</v>
      </c>
    </row>
    <row r="16" spans="1:9">
      <c r="A16" s="136">
        <v>9</v>
      </c>
      <c r="B16" s="1" t="s">
        <v>103</v>
      </c>
      <c r="C16" s="544">
        <v>120685364.31999989</v>
      </c>
      <c r="D16" s="545">
        <v>1210001.24</v>
      </c>
      <c r="E16" s="544">
        <v>773879.58</v>
      </c>
      <c r="F16" s="545">
        <v>42510735.364999957</v>
      </c>
      <c r="G16" s="548">
        <v>42510735.364999957</v>
      </c>
      <c r="H16" s="547">
        <f t="shared" si="0"/>
        <v>0.35</v>
      </c>
    </row>
    <row r="17" spans="1:8">
      <c r="A17" s="136">
        <v>10</v>
      </c>
      <c r="B17" s="1" t="s">
        <v>104</v>
      </c>
      <c r="C17" s="544">
        <v>8710441.4199999925</v>
      </c>
      <c r="D17" s="545">
        <v>0</v>
      </c>
      <c r="E17" s="544">
        <v>0</v>
      </c>
      <c r="F17" s="545">
        <v>7508589.1949999928</v>
      </c>
      <c r="G17" s="548">
        <v>7508588.8649999928</v>
      </c>
      <c r="H17" s="547">
        <f t="shared" si="0"/>
        <v>0.86202162473184962</v>
      </c>
    </row>
    <row r="18" spans="1:8">
      <c r="A18" s="136">
        <v>11</v>
      </c>
      <c r="B18" s="1" t="s">
        <v>105</v>
      </c>
      <c r="C18" s="544">
        <v>41431099.809999913</v>
      </c>
      <c r="D18" s="545">
        <v>0</v>
      </c>
      <c r="E18" s="544">
        <v>0</v>
      </c>
      <c r="F18" s="545">
        <v>44236294.84999989</v>
      </c>
      <c r="G18" s="548">
        <v>44183733.839999892</v>
      </c>
      <c r="H18" s="547">
        <f t="shared" si="0"/>
        <v>1.0664388356240448</v>
      </c>
    </row>
    <row r="19" spans="1:8">
      <c r="A19" s="136">
        <v>12</v>
      </c>
      <c r="B19" s="1" t="s">
        <v>106</v>
      </c>
      <c r="C19" s="544">
        <v>0</v>
      </c>
      <c r="D19" s="545">
        <v>0</v>
      </c>
      <c r="E19" s="544">
        <v>0</v>
      </c>
      <c r="F19" s="545">
        <v>0</v>
      </c>
      <c r="G19" s="548">
        <v>0</v>
      </c>
      <c r="H19" s="547"/>
    </row>
    <row r="20" spans="1:8">
      <c r="A20" s="136">
        <v>13</v>
      </c>
      <c r="B20" s="1" t="s">
        <v>247</v>
      </c>
      <c r="C20" s="544">
        <v>0</v>
      </c>
      <c r="D20" s="545">
        <v>0</v>
      </c>
      <c r="E20" s="544">
        <v>0</v>
      </c>
      <c r="F20" s="545">
        <v>0</v>
      </c>
      <c r="G20" s="548">
        <v>0</v>
      </c>
      <c r="H20" s="547"/>
    </row>
    <row r="21" spans="1:8">
      <c r="A21" s="136">
        <v>14</v>
      </c>
      <c r="B21" s="1" t="s">
        <v>108</v>
      </c>
      <c r="C21" s="544">
        <v>80385466.450000033</v>
      </c>
      <c r="D21" s="545">
        <v>0</v>
      </c>
      <c r="E21" s="544">
        <v>0</v>
      </c>
      <c r="F21" s="545">
        <v>37157358.190000035</v>
      </c>
      <c r="G21" s="548">
        <v>37157358.190000035</v>
      </c>
      <c r="H21" s="547">
        <f t="shared" si="0"/>
        <v>0.46223975341502815</v>
      </c>
    </row>
    <row r="22" spans="1:8" ht="13.5" thickBot="1">
      <c r="A22" s="139"/>
      <c r="B22" s="140" t="s">
        <v>109</v>
      </c>
      <c r="C22" s="542">
        <f>SUM(C8:C21)</f>
        <v>1327634958.8799977</v>
      </c>
      <c r="D22" s="225">
        <f>SUM(D8:D21)</f>
        <v>74423418.349999994</v>
      </c>
      <c r="E22" s="225">
        <f>SUM(E8:E21)</f>
        <v>39414521.691999987</v>
      </c>
      <c r="F22" s="225">
        <f>SUM(F8:F21)</f>
        <v>1021334185.1939976</v>
      </c>
      <c r="G22" s="225">
        <f>SUM(G8:G21)</f>
        <v>980104894.13424754</v>
      </c>
      <c r="H22" s="226">
        <f>G22/(C22+E22)</f>
        <v>0.71694909954843355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E15" sqref="E15"/>
    </sheetView>
  </sheetViews>
  <sheetFormatPr defaultColWidth="9.140625" defaultRowHeight="12.75"/>
  <cols>
    <col min="1" max="1" width="10.5703125" style="194" bestFit="1" customWidth="1"/>
    <col min="2" max="2" width="104.140625" style="194" customWidth="1"/>
    <col min="3" max="4" width="12.7109375" style="194" customWidth="1"/>
    <col min="5" max="5" width="13.5703125" style="194" bestFit="1" customWidth="1"/>
    <col min="6" max="11" width="12.7109375" style="194" customWidth="1"/>
    <col min="12" max="16384" width="9.140625" style="194"/>
  </cols>
  <sheetData>
    <row r="1" spans="1:11">
      <c r="A1" s="194" t="s">
        <v>30</v>
      </c>
      <c r="B1" s="3" t="str">
        <f>'Info '!C2</f>
        <v>Terabank</v>
      </c>
    </row>
    <row r="2" spans="1:11">
      <c r="A2" s="194" t="s">
        <v>31</v>
      </c>
      <c r="B2" s="340">
        <v>44377</v>
      </c>
    </row>
    <row r="4" spans="1:11" ht="13.5" thickBot="1">
      <c r="A4" s="194" t="s">
        <v>249</v>
      </c>
      <c r="B4" s="260" t="s">
        <v>377</v>
      </c>
    </row>
    <row r="5" spans="1:11" ht="30" customHeight="1">
      <c r="A5" s="653"/>
      <c r="B5" s="654"/>
      <c r="C5" s="655" t="s">
        <v>429</v>
      </c>
      <c r="D5" s="655"/>
      <c r="E5" s="655"/>
      <c r="F5" s="655" t="s">
        <v>430</v>
      </c>
      <c r="G5" s="655"/>
      <c r="H5" s="655"/>
      <c r="I5" s="655" t="s">
        <v>431</v>
      </c>
      <c r="J5" s="655"/>
      <c r="K5" s="656"/>
    </row>
    <row r="6" spans="1:11">
      <c r="A6" s="234"/>
      <c r="B6" s="235"/>
      <c r="C6" s="21" t="s">
        <v>69</v>
      </c>
      <c r="D6" s="21" t="s">
        <v>70</v>
      </c>
      <c r="E6" s="21" t="s">
        <v>71</v>
      </c>
      <c r="F6" s="21" t="s">
        <v>69</v>
      </c>
      <c r="G6" s="21" t="s">
        <v>70</v>
      </c>
      <c r="H6" s="21" t="s">
        <v>71</v>
      </c>
      <c r="I6" s="21" t="s">
        <v>69</v>
      </c>
      <c r="J6" s="21" t="s">
        <v>70</v>
      </c>
      <c r="K6" s="21" t="s">
        <v>71</v>
      </c>
    </row>
    <row r="7" spans="1:11">
      <c r="A7" s="236" t="s">
        <v>380</v>
      </c>
      <c r="B7" s="237"/>
      <c r="C7" s="237"/>
      <c r="D7" s="237"/>
      <c r="E7" s="237"/>
      <c r="F7" s="237"/>
      <c r="G7" s="237"/>
      <c r="H7" s="237"/>
      <c r="I7" s="237"/>
      <c r="J7" s="237"/>
      <c r="K7" s="238"/>
    </row>
    <row r="8" spans="1:11">
      <c r="A8" s="239">
        <v>1</v>
      </c>
      <c r="B8" s="240" t="s">
        <v>378</v>
      </c>
      <c r="C8" s="549"/>
      <c r="D8" s="549"/>
      <c r="E8" s="549"/>
      <c r="F8" s="550">
        <v>75789312.282644406</v>
      </c>
      <c r="G8" s="550">
        <v>222546946.45223668</v>
      </c>
      <c r="H8" s="550">
        <v>298336258.7348811</v>
      </c>
      <c r="I8" s="550">
        <v>72526317.113755524</v>
      </c>
      <c r="J8" s="550">
        <v>188200788.09294334</v>
      </c>
      <c r="K8" s="551">
        <v>260727105.20669886</v>
      </c>
    </row>
    <row r="9" spans="1:11">
      <c r="A9" s="236" t="s">
        <v>381</v>
      </c>
      <c r="B9" s="237"/>
      <c r="C9" s="552"/>
      <c r="D9" s="552"/>
      <c r="E9" s="552"/>
      <c r="F9" s="552"/>
      <c r="G9" s="552"/>
      <c r="H9" s="552"/>
      <c r="I9" s="552"/>
      <c r="J9" s="552"/>
      <c r="K9" s="553"/>
    </row>
    <row r="10" spans="1:11">
      <c r="A10" s="242">
        <v>2</v>
      </c>
      <c r="B10" s="243" t="s">
        <v>389</v>
      </c>
      <c r="C10" s="554">
        <v>92950971.350955248</v>
      </c>
      <c r="D10" s="555">
        <v>339926714.0155046</v>
      </c>
      <c r="E10" s="555">
        <v>432877685.36645985</v>
      </c>
      <c r="F10" s="555">
        <v>16115028.895004373</v>
      </c>
      <c r="G10" s="555">
        <v>62546524.991599254</v>
      </c>
      <c r="H10" s="555">
        <v>78661553.886603624</v>
      </c>
      <c r="I10" s="555">
        <v>3825721.4163351632</v>
      </c>
      <c r="J10" s="555">
        <v>13437018.681207556</v>
      </c>
      <c r="K10" s="556">
        <v>17262740.097542718</v>
      </c>
    </row>
    <row r="11" spans="1:11">
      <c r="A11" s="242">
        <v>3</v>
      </c>
      <c r="B11" s="243" t="s">
        <v>383</v>
      </c>
      <c r="C11" s="554">
        <v>200095439.8488</v>
      </c>
      <c r="D11" s="555">
        <v>408392596.05254364</v>
      </c>
      <c r="E11" s="555">
        <v>608488035.90134358</v>
      </c>
      <c r="F11" s="555">
        <v>56986540.21022369</v>
      </c>
      <c r="G11" s="555">
        <v>117626571.99733692</v>
      </c>
      <c r="H11" s="555">
        <v>174613112.2075606</v>
      </c>
      <c r="I11" s="555">
        <v>47057167.638480671</v>
      </c>
      <c r="J11" s="555">
        <v>101183004.1584996</v>
      </c>
      <c r="K11" s="556">
        <v>148240171.79698026</v>
      </c>
    </row>
    <row r="12" spans="1:11">
      <c r="A12" s="242">
        <v>4</v>
      </c>
      <c r="B12" s="243" t="s">
        <v>384</v>
      </c>
      <c r="C12" s="554">
        <v>91490000</v>
      </c>
      <c r="D12" s="555">
        <v>0</v>
      </c>
      <c r="E12" s="555">
        <v>91490000</v>
      </c>
      <c r="F12" s="555">
        <v>0</v>
      </c>
      <c r="G12" s="555">
        <v>0</v>
      </c>
      <c r="H12" s="555">
        <v>0</v>
      </c>
      <c r="I12" s="555">
        <v>0</v>
      </c>
      <c r="J12" s="555">
        <v>0</v>
      </c>
      <c r="K12" s="556">
        <v>0</v>
      </c>
    </row>
    <row r="13" spans="1:11">
      <c r="A13" s="242">
        <v>5</v>
      </c>
      <c r="B13" s="243" t="s">
        <v>392</v>
      </c>
      <c r="C13" s="554">
        <v>42688936.153999999</v>
      </c>
      <c r="D13" s="555">
        <v>30110953.575753335</v>
      </c>
      <c r="E13" s="555">
        <v>72799889.72975333</v>
      </c>
      <c r="F13" s="555">
        <v>6430283.3369522225</v>
      </c>
      <c r="G13" s="555">
        <v>4429167.0300643994</v>
      </c>
      <c r="H13" s="555">
        <v>10859450.367016621</v>
      </c>
      <c r="I13" s="555">
        <v>2510147.6806277782</v>
      </c>
      <c r="J13" s="555">
        <v>1809532.3742960556</v>
      </c>
      <c r="K13" s="556">
        <v>4319680.0549238343</v>
      </c>
    </row>
    <row r="14" spans="1:11">
      <c r="A14" s="242">
        <v>6</v>
      </c>
      <c r="B14" s="243" t="s">
        <v>424</v>
      </c>
      <c r="C14" s="554">
        <v>4409776.4077777788</v>
      </c>
      <c r="D14" s="555">
        <v>10564733.567227777</v>
      </c>
      <c r="E14" s="555">
        <v>14974509.975005556</v>
      </c>
      <c r="F14" s="555">
        <v>0</v>
      </c>
      <c r="G14" s="555">
        <v>0</v>
      </c>
      <c r="H14" s="555">
        <v>0</v>
      </c>
      <c r="I14" s="555">
        <v>0</v>
      </c>
      <c r="J14" s="555">
        <v>0</v>
      </c>
      <c r="K14" s="556">
        <v>0</v>
      </c>
    </row>
    <row r="15" spans="1:11">
      <c r="A15" s="242">
        <v>7</v>
      </c>
      <c r="B15" s="243" t="s">
        <v>425</v>
      </c>
      <c r="C15" s="554">
        <v>6958756.6441111127</v>
      </c>
      <c r="D15" s="555">
        <v>5645366.9499288891</v>
      </c>
      <c r="E15" s="555">
        <v>12604123.594040003</v>
      </c>
      <c r="F15" s="555">
        <v>2568990.1746666674</v>
      </c>
      <c r="G15" s="555">
        <v>2222960.5997777781</v>
      </c>
      <c r="H15" s="555">
        <v>4791950.774444446</v>
      </c>
      <c r="I15" s="555">
        <v>2568990.1746666674</v>
      </c>
      <c r="J15" s="555">
        <v>2222960.5997777781</v>
      </c>
      <c r="K15" s="556">
        <v>4791950.774444446</v>
      </c>
    </row>
    <row r="16" spans="1:11">
      <c r="A16" s="242">
        <v>8</v>
      </c>
      <c r="B16" s="244" t="s">
        <v>385</v>
      </c>
      <c r="C16" s="554">
        <v>438593880.40564412</v>
      </c>
      <c r="D16" s="555">
        <v>794640364.16095817</v>
      </c>
      <c r="E16" s="555">
        <v>1233234244.5666022</v>
      </c>
      <c r="F16" s="555">
        <v>82100842.616846964</v>
      </c>
      <c r="G16" s="555">
        <v>186825224.61877838</v>
      </c>
      <c r="H16" s="555">
        <v>268926067.23562533</v>
      </c>
      <c r="I16" s="555">
        <v>55962026.91011028</v>
      </c>
      <c r="J16" s="555">
        <v>118652515.81378098</v>
      </c>
      <c r="K16" s="556">
        <v>174614542.72389126</v>
      </c>
    </row>
    <row r="17" spans="1:11">
      <c r="A17" s="236" t="s">
        <v>382</v>
      </c>
      <c r="B17" s="237"/>
      <c r="C17" s="557"/>
      <c r="D17" s="557"/>
      <c r="E17" s="557"/>
      <c r="F17" s="557"/>
      <c r="G17" s="557"/>
      <c r="H17" s="557"/>
      <c r="I17" s="557"/>
      <c r="J17" s="557"/>
      <c r="K17" s="238"/>
    </row>
    <row r="18" spans="1:11">
      <c r="A18" s="242">
        <v>9</v>
      </c>
      <c r="B18" s="243" t="s">
        <v>388</v>
      </c>
      <c r="C18" s="554">
        <v>0</v>
      </c>
      <c r="D18" s="555">
        <v>0</v>
      </c>
      <c r="E18" s="555">
        <v>0</v>
      </c>
      <c r="F18" s="555">
        <v>0</v>
      </c>
      <c r="G18" s="555">
        <v>0</v>
      </c>
      <c r="H18" s="555">
        <v>0</v>
      </c>
      <c r="I18" s="555">
        <v>0</v>
      </c>
      <c r="J18" s="555">
        <v>0</v>
      </c>
      <c r="K18" s="556">
        <v>0</v>
      </c>
    </row>
    <row r="19" spans="1:11">
      <c r="A19" s="242">
        <v>10</v>
      </c>
      <c r="B19" s="243" t="s">
        <v>426</v>
      </c>
      <c r="C19" s="554">
        <v>271842042.05066681</v>
      </c>
      <c r="D19" s="555">
        <v>471626502.34382331</v>
      </c>
      <c r="E19" s="555">
        <v>743468544.39449012</v>
      </c>
      <c r="F19" s="555">
        <v>17430637.820166666</v>
      </c>
      <c r="G19" s="555">
        <v>6571651.6375555564</v>
      </c>
      <c r="H19" s="555">
        <v>24002289.457722224</v>
      </c>
      <c r="I19" s="555">
        <v>20693632.989055555</v>
      </c>
      <c r="J19" s="555">
        <v>42853353.31448999</v>
      </c>
      <c r="K19" s="556">
        <v>63546986.30354555</v>
      </c>
    </row>
    <row r="20" spans="1:11">
      <c r="A20" s="242">
        <v>11</v>
      </c>
      <c r="B20" s="243" t="s">
        <v>387</v>
      </c>
      <c r="C20" s="554">
        <v>13389770.562799999</v>
      </c>
      <c r="D20" s="555">
        <v>2101727.4401433337</v>
      </c>
      <c r="E20" s="555">
        <v>15491498.002943333</v>
      </c>
      <c r="F20" s="555">
        <v>4520981.6082444442</v>
      </c>
      <c r="G20" s="555">
        <v>1417406.2284744445</v>
      </c>
      <c r="H20" s="555">
        <v>5938387.836718889</v>
      </c>
      <c r="I20" s="555">
        <v>4520981.6082444442</v>
      </c>
      <c r="J20" s="555">
        <v>1417406.2284744445</v>
      </c>
      <c r="K20" s="556">
        <v>5938387.836718889</v>
      </c>
    </row>
    <row r="21" spans="1:11" ht="13.5" thickBot="1">
      <c r="A21" s="245">
        <v>12</v>
      </c>
      <c r="B21" s="246" t="s">
        <v>386</v>
      </c>
      <c r="C21" s="558">
        <v>285231812.6134668</v>
      </c>
      <c r="D21" s="559">
        <v>473728229.78396666</v>
      </c>
      <c r="E21" s="558">
        <v>758960042.39743352</v>
      </c>
      <c r="F21" s="559">
        <v>21951619.428411111</v>
      </c>
      <c r="G21" s="559">
        <v>7989057.8660300011</v>
      </c>
      <c r="H21" s="559">
        <v>29940677.294441111</v>
      </c>
      <c r="I21" s="559">
        <v>25214614.5973</v>
      </c>
      <c r="J21" s="559">
        <v>44270759.542964436</v>
      </c>
      <c r="K21" s="560">
        <v>69485374.140264437</v>
      </c>
    </row>
    <row r="22" spans="1:11" ht="38.25" customHeight="1" thickBot="1">
      <c r="A22" s="247"/>
      <c r="B22" s="248"/>
      <c r="C22" s="248"/>
      <c r="D22" s="248"/>
      <c r="E22" s="248"/>
      <c r="F22" s="657" t="s">
        <v>428</v>
      </c>
      <c r="G22" s="655"/>
      <c r="H22" s="655"/>
      <c r="I22" s="657" t="s">
        <v>393</v>
      </c>
      <c r="J22" s="655"/>
      <c r="K22" s="656"/>
    </row>
    <row r="23" spans="1:11">
      <c r="A23" s="249">
        <v>13</v>
      </c>
      <c r="B23" s="250" t="s">
        <v>378</v>
      </c>
      <c r="C23" s="251"/>
      <c r="D23" s="251"/>
      <c r="E23" s="251"/>
      <c r="F23" s="561">
        <v>75789312.282644406</v>
      </c>
      <c r="G23" s="561">
        <v>222546946.45223668</v>
      </c>
      <c r="H23" s="561">
        <v>298336258.7348811</v>
      </c>
      <c r="I23" s="561">
        <v>72526317.113755524</v>
      </c>
      <c r="J23" s="561">
        <v>188200788.09294334</v>
      </c>
      <c r="K23" s="562">
        <v>260727105.20669886</v>
      </c>
    </row>
    <row r="24" spans="1:11" ht="13.5" thickBot="1">
      <c r="A24" s="252">
        <v>14</v>
      </c>
      <c r="B24" s="253" t="s">
        <v>390</v>
      </c>
      <c r="C24" s="254"/>
      <c r="D24" s="255"/>
      <c r="E24" s="256"/>
      <c r="F24" s="563">
        <v>60149223.188435853</v>
      </c>
      <c r="G24" s="563">
        <v>178836166.75274837</v>
      </c>
      <c r="H24" s="563">
        <v>238985389.94118422</v>
      </c>
      <c r="I24" s="563">
        <v>30747412.312810279</v>
      </c>
      <c r="J24" s="563">
        <v>74381756.270816535</v>
      </c>
      <c r="K24" s="564">
        <v>105129168.58362682</v>
      </c>
    </row>
    <row r="25" spans="1:11" ht="13.5" thickBot="1">
      <c r="A25" s="257">
        <v>15</v>
      </c>
      <c r="B25" s="258" t="s">
        <v>391</v>
      </c>
      <c r="C25" s="259"/>
      <c r="D25" s="259"/>
      <c r="E25" s="259"/>
      <c r="F25" s="565">
        <v>1.260021464370557</v>
      </c>
      <c r="G25" s="565">
        <v>1.2444180083546583</v>
      </c>
      <c r="H25" s="565">
        <v>1.2483451762817113</v>
      </c>
      <c r="I25" s="566">
        <v>2.3587779152243948</v>
      </c>
      <c r="J25" s="566">
        <v>2.5302009192647064</v>
      </c>
      <c r="K25" s="567">
        <v>2.4800643695693165</v>
      </c>
    </row>
    <row r="27" spans="1:11" ht="25.5">
      <c r="B27" s="233"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J7" sqref="J7"/>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0"/>
  </cols>
  <sheetData>
    <row r="1" spans="1:14">
      <c r="A1" s="4" t="s">
        <v>30</v>
      </c>
      <c r="B1" s="3" t="str">
        <f>'Info '!C2</f>
        <v>Terabank</v>
      </c>
    </row>
    <row r="2" spans="1:14" ht="14.25" customHeight="1">
      <c r="A2" s="4" t="s">
        <v>31</v>
      </c>
      <c r="B2" s="340">
        <v>44377</v>
      </c>
    </row>
    <row r="3" spans="1:14" ht="14.25" customHeight="1"/>
    <row r="4" spans="1:14" ht="13.5" thickBot="1">
      <c r="A4" s="4" t="s">
        <v>265</v>
      </c>
      <c r="B4" s="188"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87" t="s">
        <v>276</v>
      </c>
    </row>
    <row r="7" spans="1:14" ht="15.75">
      <c r="A7" s="152">
        <v>1</v>
      </c>
      <c r="B7" s="153" t="s">
        <v>261</v>
      </c>
      <c r="C7" s="568">
        <f>SUM(C8:C13)</f>
        <v>67039380.530000001</v>
      </c>
      <c r="D7" s="569"/>
      <c r="E7" s="570">
        <f t="shared" ref="E7:M7" si="0">SUM(E8:E13)</f>
        <v>1340787.6106</v>
      </c>
      <c r="F7" s="570">
        <f>SUM(F8:F13)</f>
        <v>0</v>
      </c>
      <c r="G7" s="570">
        <f t="shared" si="0"/>
        <v>0</v>
      </c>
      <c r="H7" s="570">
        <f t="shared" si="0"/>
        <v>0</v>
      </c>
      <c r="I7" s="570">
        <f t="shared" si="0"/>
        <v>0</v>
      </c>
      <c r="J7" s="570">
        <f t="shared" si="0"/>
        <v>0</v>
      </c>
      <c r="K7" s="570">
        <f t="shared" si="0"/>
        <v>1340787.6106</v>
      </c>
      <c r="L7" s="570">
        <f t="shared" si="0"/>
        <v>0</v>
      </c>
      <c r="M7" s="570">
        <f t="shared" si="0"/>
        <v>0</v>
      </c>
      <c r="N7" s="571">
        <f>SUM(N8:N13)</f>
        <v>1340787.6106</v>
      </c>
    </row>
    <row r="8" spans="1:14" ht="15">
      <c r="A8" s="152">
        <v>1.1000000000000001</v>
      </c>
      <c r="B8" s="154" t="s">
        <v>259</v>
      </c>
      <c r="C8" s="572">
        <v>67039380.530000001</v>
      </c>
      <c r="D8" s="573">
        <v>0.02</v>
      </c>
      <c r="E8" s="570">
        <f>C8*D8</f>
        <v>1340787.6106</v>
      </c>
      <c r="F8" s="574">
        <v>0</v>
      </c>
      <c r="G8" s="574">
        <v>0</v>
      </c>
      <c r="H8" s="574">
        <v>0</v>
      </c>
      <c r="I8" s="574">
        <v>0</v>
      </c>
      <c r="J8" s="574">
        <v>0</v>
      </c>
      <c r="K8" s="574">
        <v>1340787.6106</v>
      </c>
      <c r="L8" s="574">
        <v>0</v>
      </c>
      <c r="M8" s="574">
        <v>0</v>
      </c>
      <c r="N8" s="571">
        <f>SUMPRODUCT($F$6:$M$6,F8:M8)</f>
        <v>1340787.6106</v>
      </c>
    </row>
    <row r="9" spans="1:14" ht="15">
      <c r="A9" s="152">
        <v>1.2</v>
      </c>
      <c r="B9" s="154" t="s">
        <v>258</v>
      </c>
      <c r="C9" s="574">
        <v>0</v>
      </c>
      <c r="D9" s="573">
        <v>0.05</v>
      </c>
      <c r="E9" s="570">
        <f>C9*D9</f>
        <v>0</v>
      </c>
      <c r="F9" s="574">
        <v>0</v>
      </c>
      <c r="G9" s="574">
        <v>0</v>
      </c>
      <c r="H9" s="574">
        <v>0</v>
      </c>
      <c r="I9" s="574">
        <v>0</v>
      </c>
      <c r="J9" s="574">
        <v>0</v>
      </c>
      <c r="K9" s="574">
        <v>0</v>
      </c>
      <c r="L9" s="574">
        <v>0</v>
      </c>
      <c r="M9" s="574">
        <v>0</v>
      </c>
      <c r="N9" s="571">
        <f t="shared" ref="N9:N12" si="1">SUMPRODUCT($F$6:$M$6,F9:M9)</f>
        <v>0</v>
      </c>
    </row>
    <row r="10" spans="1:14" ht="15">
      <c r="A10" s="152">
        <v>1.3</v>
      </c>
      <c r="B10" s="154" t="s">
        <v>257</v>
      </c>
      <c r="C10" s="574">
        <v>0</v>
      </c>
      <c r="D10" s="573">
        <v>0.08</v>
      </c>
      <c r="E10" s="570">
        <f>C10*D10</f>
        <v>0</v>
      </c>
      <c r="F10" s="574">
        <v>0</v>
      </c>
      <c r="G10" s="574">
        <v>0</v>
      </c>
      <c r="H10" s="574">
        <v>0</v>
      </c>
      <c r="I10" s="574">
        <v>0</v>
      </c>
      <c r="J10" s="574">
        <v>0</v>
      </c>
      <c r="K10" s="574">
        <v>0</v>
      </c>
      <c r="L10" s="574">
        <v>0</v>
      </c>
      <c r="M10" s="574">
        <v>0</v>
      </c>
      <c r="N10" s="571">
        <f>SUMPRODUCT($F$6:$M$6,F10:M10)</f>
        <v>0</v>
      </c>
    </row>
    <row r="11" spans="1:14" ht="15">
      <c r="A11" s="152">
        <v>1.4</v>
      </c>
      <c r="B11" s="154" t="s">
        <v>256</v>
      </c>
      <c r="C11" s="574">
        <v>0</v>
      </c>
      <c r="D11" s="573">
        <v>0.11</v>
      </c>
      <c r="E11" s="570">
        <f>C11*D11</f>
        <v>0</v>
      </c>
      <c r="F11" s="574">
        <v>0</v>
      </c>
      <c r="G11" s="574">
        <v>0</v>
      </c>
      <c r="H11" s="574">
        <v>0</v>
      </c>
      <c r="I11" s="574">
        <v>0</v>
      </c>
      <c r="J11" s="574">
        <v>0</v>
      </c>
      <c r="K11" s="574">
        <v>0</v>
      </c>
      <c r="L11" s="574">
        <v>0</v>
      </c>
      <c r="M11" s="574">
        <v>0</v>
      </c>
      <c r="N11" s="571">
        <f t="shared" si="1"/>
        <v>0</v>
      </c>
    </row>
    <row r="12" spans="1:14" ht="15">
      <c r="A12" s="152">
        <v>1.5</v>
      </c>
      <c r="B12" s="154" t="s">
        <v>255</v>
      </c>
      <c r="C12" s="574">
        <v>0</v>
      </c>
      <c r="D12" s="573">
        <v>0.14000000000000001</v>
      </c>
      <c r="E12" s="570">
        <f>C12*D12</f>
        <v>0</v>
      </c>
      <c r="F12" s="574">
        <v>0</v>
      </c>
      <c r="G12" s="574">
        <v>0</v>
      </c>
      <c r="H12" s="574">
        <v>0</v>
      </c>
      <c r="I12" s="574">
        <v>0</v>
      </c>
      <c r="J12" s="574">
        <v>0</v>
      </c>
      <c r="K12" s="574">
        <v>0</v>
      </c>
      <c r="L12" s="574">
        <v>0</v>
      </c>
      <c r="M12" s="574">
        <v>0</v>
      </c>
      <c r="N12" s="571">
        <f t="shared" si="1"/>
        <v>0</v>
      </c>
    </row>
    <row r="13" spans="1:14" ht="15">
      <c r="A13" s="152">
        <v>1.6</v>
      </c>
      <c r="B13" s="155" t="s">
        <v>254</v>
      </c>
      <c r="C13" s="574">
        <v>0</v>
      </c>
      <c r="D13" s="575"/>
      <c r="E13" s="572"/>
      <c r="F13" s="574">
        <v>0</v>
      </c>
      <c r="G13" s="574">
        <v>0</v>
      </c>
      <c r="H13" s="574">
        <v>0</v>
      </c>
      <c r="I13" s="574">
        <v>0</v>
      </c>
      <c r="J13" s="574">
        <v>0</v>
      </c>
      <c r="K13" s="574">
        <v>0</v>
      </c>
      <c r="L13" s="574">
        <v>0</v>
      </c>
      <c r="M13" s="574">
        <v>0</v>
      </c>
      <c r="N13" s="571">
        <f>SUMPRODUCT($F$6:$M$6,F13:M13)</f>
        <v>0</v>
      </c>
    </row>
    <row r="14" spans="1:14" ht="15.75">
      <c r="A14" s="152">
        <v>2</v>
      </c>
      <c r="B14" s="156" t="s">
        <v>260</v>
      </c>
      <c r="C14" s="570">
        <f>SUM(C15:C20)</f>
        <v>0</v>
      </c>
      <c r="D14" s="574"/>
      <c r="E14" s="570">
        <f t="shared" ref="E14:M14" si="2">SUM(E15:E20)</f>
        <v>0</v>
      </c>
      <c r="F14" s="574">
        <f t="shared" si="2"/>
        <v>0</v>
      </c>
      <c r="G14" s="574">
        <f t="shared" si="2"/>
        <v>0</v>
      </c>
      <c r="H14" s="574">
        <f t="shared" si="2"/>
        <v>0</v>
      </c>
      <c r="I14" s="574">
        <f t="shared" si="2"/>
        <v>0</v>
      </c>
      <c r="J14" s="574">
        <f t="shared" si="2"/>
        <v>0</v>
      </c>
      <c r="K14" s="574">
        <f t="shared" si="2"/>
        <v>0</v>
      </c>
      <c r="L14" s="574">
        <f t="shared" si="2"/>
        <v>0</v>
      </c>
      <c r="M14" s="574">
        <f t="shared" si="2"/>
        <v>0</v>
      </c>
      <c r="N14" s="571">
        <f>SUM(N15:N20)</f>
        <v>0</v>
      </c>
    </row>
    <row r="15" spans="1:14" ht="15">
      <c r="A15" s="152">
        <v>2.1</v>
      </c>
      <c r="B15" s="155" t="s">
        <v>259</v>
      </c>
      <c r="C15" s="574">
        <v>0</v>
      </c>
      <c r="D15" s="573">
        <v>5.0000000000000001E-3</v>
      </c>
      <c r="E15" s="570">
        <f>C15*D15</f>
        <v>0</v>
      </c>
      <c r="F15" s="574">
        <v>0</v>
      </c>
      <c r="G15" s="574">
        <v>0</v>
      </c>
      <c r="H15" s="574">
        <v>0</v>
      </c>
      <c r="I15" s="574">
        <v>0</v>
      </c>
      <c r="J15" s="574">
        <v>0</v>
      </c>
      <c r="K15" s="574">
        <v>0</v>
      </c>
      <c r="L15" s="574">
        <v>0</v>
      </c>
      <c r="M15" s="574">
        <v>0</v>
      </c>
      <c r="N15" s="571">
        <f>SUMPRODUCT($F$6:$M$6,F15:M15)</f>
        <v>0</v>
      </c>
    </row>
    <row r="16" spans="1:14" ht="15">
      <c r="A16" s="152">
        <v>2.2000000000000002</v>
      </c>
      <c r="B16" s="155" t="s">
        <v>258</v>
      </c>
      <c r="C16" s="574">
        <v>0</v>
      </c>
      <c r="D16" s="573">
        <v>0.01</v>
      </c>
      <c r="E16" s="570">
        <f>C16*D16</f>
        <v>0</v>
      </c>
      <c r="F16" s="574">
        <v>0</v>
      </c>
      <c r="G16" s="574">
        <v>0</v>
      </c>
      <c r="H16" s="574">
        <v>0</v>
      </c>
      <c r="I16" s="574">
        <v>0</v>
      </c>
      <c r="J16" s="574">
        <v>0</v>
      </c>
      <c r="K16" s="574">
        <v>0</v>
      </c>
      <c r="L16" s="574">
        <v>0</v>
      </c>
      <c r="M16" s="574">
        <v>0</v>
      </c>
      <c r="N16" s="571">
        <f t="shared" ref="N16:N20" si="3">SUMPRODUCT($F$6:$M$6,F16:M16)</f>
        <v>0</v>
      </c>
    </row>
    <row r="17" spans="1:14" ht="15">
      <c r="A17" s="152">
        <v>2.2999999999999998</v>
      </c>
      <c r="B17" s="155" t="s">
        <v>257</v>
      </c>
      <c r="C17" s="574">
        <v>0</v>
      </c>
      <c r="D17" s="573">
        <v>0.02</v>
      </c>
      <c r="E17" s="570">
        <f>C17*D17</f>
        <v>0</v>
      </c>
      <c r="F17" s="574">
        <v>0</v>
      </c>
      <c r="G17" s="574">
        <v>0</v>
      </c>
      <c r="H17" s="574">
        <v>0</v>
      </c>
      <c r="I17" s="574">
        <v>0</v>
      </c>
      <c r="J17" s="574">
        <v>0</v>
      </c>
      <c r="K17" s="574">
        <v>0</v>
      </c>
      <c r="L17" s="574">
        <v>0</v>
      </c>
      <c r="M17" s="574">
        <v>0</v>
      </c>
      <c r="N17" s="571">
        <f t="shared" si="3"/>
        <v>0</v>
      </c>
    </row>
    <row r="18" spans="1:14" ht="15">
      <c r="A18" s="152">
        <v>2.4</v>
      </c>
      <c r="B18" s="155" t="s">
        <v>256</v>
      </c>
      <c r="C18" s="574">
        <v>0</v>
      </c>
      <c r="D18" s="573">
        <v>0.03</v>
      </c>
      <c r="E18" s="570">
        <f>C18*D18</f>
        <v>0</v>
      </c>
      <c r="F18" s="574">
        <v>0</v>
      </c>
      <c r="G18" s="574">
        <v>0</v>
      </c>
      <c r="H18" s="574">
        <v>0</v>
      </c>
      <c r="I18" s="574">
        <v>0</v>
      </c>
      <c r="J18" s="574">
        <v>0</v>
      </c>
      <c r="K18" s="574">
        <v>0</v>
      </c>
      <c r="L18" s="574">
        <v>0</v>
      </c>
      <c r="M18" s="574">
        <v>0</v>
      </c>
      <c r="N18" s="571">
        <f t="shared" si="3"/>
        <v>0</v>
      </c>
    </row>
    <row r="19" spans="1:14" ht="15">
      <c r="A19" s="152">
        <v>2.5</v>
      </c>
      <c r="B19" s="155" t="s">
        <v>255</v>
      </c>
      <c r="C19" s="574">
        <v>0</v>
      </c>
      <c r="D19" s="573">
        <v>0.04</v>
      </c>
      <c r="E19" s="570">
        <f>C19*D19</f>
        <v>0</v>
      </c>
      <c r="F19" s="574">
        <v>0</v>
      </c>
      <c r="G19" s="574">
        <v>0</v>
      </c>
      <c r="H19" s="574">
        <v>0</v>
      </c>
      <c r="I19" s="574">
        <v>0</v>
      </c>
      <c r="J19" s="574">
        <v>0</v>
      </c>
      <c r="K19" s="574">
        <v>0</v>
      </c>
      <c r="L19" s="574">
        <v>0</v>
      </c>
      <c r="M19" s="574">
        <v>0</v>
      </c>
      <c r="N19" s="571">
        <f t="shared" si="3"/>
        <v>0</v>
      </c>
    </row>
    <row r="20" spans="1:14" ht="15">
      <c r="A20" s="152">
        <v>2.6</v>
      </c>
      <c r="B20" s="155" t="s">
        <v>254</v>
      </c>
      <c r="C20" s="574">
        <v>0</v>
      </c>
      <c r="D20" s="575"/>
      <c r="E20" s="576"/>
      <c r="F20" s="574">
        <v>0</v>
      </c>
      <c r="G20" s="574">
        <v>0</v>
      </c>
      <c r="H20" s="574">
        <v>0</v>
      </c>
      <c r="I20" s="574">
        <v>0</v>
      </c>
      <c r="J20" s="574">
        <v>0</v>
      </c>
      <c r="K20" s="574">
        <v>0</v>
      </c>
      <c r="L20" s="574">
        <v>0</v>
      </c>
      <c r="M20" s="574">
        <v>0</v>
      </c>
      <c r="N20" s="571">
        <f t="shared" si="3"/>
        <v>0</v>
      </c>
    </row>
    <row r="21" spans="1:14" ht="16.5" thickBot="1">
      <c r="A21" s="157"/>
      <c r="B21" s="158" t="s">
        <v>109</v>
      </c>
      <c r="C21" s="577">
        <f>C14+C7</f>
        <v>67039380.530000001</v>
      </c>
      <c r="D21" s="577"/>
      <c r="E21" s="577">
        <f>E14+E7</f>
        <v>1340787.6106</v>
      </c>
      <c r="F21" s="578">
        <f>F7+F14</f>
        <v>0</v>
      </c>
      <c r="G21" s="578">
        <f t="shared" ref="G21:L21" si="4">G7+G14</f>
        <v>0</v>
      </c>
      <c r="H21" s="578">
        <f t="shared" si="4"/>
        <v>0</v>
      </c>
      <c r="I21" s="578">
        <f t="shared" si="4"/>
        <v>0</v>
      </c>
      <c r="J21" s="578">
        <f t="shared" si="4"/>
        <v>0</v>
      </c>
      <c r="K21" s="578">
        <f t="shared" si="4"/>
        <v>1340787.6106</v>
      </c>
      <c r="L21" s="578">
        <f t="shared" si="4"/>
        <v>0</v>
      </c>
      <c r="M21" s="578">
        <f>M7+M14</f>
        <v>0</v>
      </c>
      <c r="N21" s="579">
        <f>N14+N7</f>
        <v>1340787.6106</v>
      </c>
    </row>
    <row r="22" spans="1:14">
      <c r="E22" s="159"/>
      <c r="F22" s="159"/>
      <c r="G22" s="159"/>
      <c r="H22" s="159"/>
      <c r="I22" s="159"/>
      <c r="J22" s="159"/>
      <c r="K22" s="159"/>
      <c r="L22" s="159"/>
      <c r="M22" s="15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5" zoomScale="90" zoomScaleNormal="90" workbookViewId="0">
      <selection activeCell="B8" sqref="B8"/>
    </sheetView>
  </sheetViews>
  <sheetFormatPr defaultRowHeight="15"/>
  <cols>
    <col min="1" max="1" width="11.42578125" customWidth="1"/>
    <col min="2" max="2" width="76.85546875" style="289" customWidth="1"/>
    <col min="3" max="3" width="22.85546875" customWidth="1"/>
  </cols>
  <sheetData>
    <row r="1" spans="1:3">
      <c r="A1" s="2" t="s">
        <v>30</v>
      </c>
      <c r="B1" s="3" t="str">
        <f>'Info '!C2</f>
        <v>Terabank</v>
      </c>
    </row>
    <row r="2" spans="1:3">
      <c r="A2" s="2" t="s">
        <v>31</v>
      </c>
      <c r="B2" s="340">
        <v>44377</v>
      </c>
    </row>
    <row r="3" spans="1:3">
      <c r="A3" s="4"/>
      <c r="B3"/>
    </row>
    <row r="4" spans="1:3">
      <c r="A4" s="4" t="s">
        <v>432</v>
      </c>
      <c r="B4" t="s">
        <v>433</v>
      </c>
    </row>
    <row r="5" spans="1:3">
      <c r="A5" s="290" t="s">
        <v>434</v>
      </c>
      <c r="B5" s="291"/>
      <c r="C5" s="292"/>
    </row>
    <row r="6" spans="1:3" ht="24">
      <c r="A6" s="293">
        <v>1</v>
      </c>
      <c r="B6" s="294" t="s">
        <v>485</v>
      </c>
      <c r="C6" s="580">
        <v>1319178233.9499977</v>
      </c>
    </row>
    <row r="7" spans="1:3">
      <c r="A7" s="293">
        <v>2</v>
      </c>
      <c r="B7" s="294" t="s">
        <v>435</v>
      </c>
      <c r="C7" s="581">
        <v>-22987678.799999997</v>
      </c>
    </row>
    <row r="8" spans="1:3" ht="24">
      <c r="A8" s="295">
        <v>3</v>
      </c>
      <c r="B8" s="296" t="s">
        <v>436</v>
      </c>
      <c r="C8" s="582">
        <f>C6+C7</f>
        <v>1296190555.1499977</v>
      </c>
    </row>
    <row r="9" spans="1:3">
      <c r="A9" s="290" t="s">
        <v>437</v>
      </c>
      <c r="B9" s="291"/>
      <c r="C9" s="583"/>
    </row>
    <row r="10" spans="1:3" ht="24">
      <c r="A10" s="297">
        <v>4</v>
      </c>
      <c r="B10" s="298" t="s">
        <v>438</v>
      </c>
      <c r="C10" s="581">
        <v>0</v>
      </c>
    </row>
    <row r="11" spans="1:3">
      <c r="A11" s="297">
        <v>5</v>
      </c>
      <c r="B11" s="299" t="s">
        <v>439</v>
      </c>
      <c r="C11" s="581">
        <v>0</v>
      </c>
    </row>
    <row r="12" spans="1:3">
      <c r="A12" s="297" t="s">
        <v>440</v>
      </c>
      <c r="B12" s="299" t="s">
        <v>441</v>
      </c>
      <c r="C12" s="582">
        <v>1340787.6106</v>
      </c>
    </row>
    <row r="13" spans="1:3" ht="24">
      <c r="A13" s="300">
        <v>6</v>
      </c>
      <c r="B13" s="298" t="s">
        <v>442</v>
      </c>
      <c r="C13" s="581">
        <v>0</v>
      </c>
    </row>
    <row r="14" spans="1:3">
      <c r="A14" s="300">
        <v>7</v>
      </c>
      <c r="B14" s="301" t="s">
        <v>443</v>
      </c>
      <c r="C14" s="581">
        <v>0</v>
      </c>
    </row>
    <row r="15" spans="1:3">
      <c r="A15" s="302">
        <v>8</v>
      </c>
      <c r="B15" s="303" t="s">
        <v>444</v>
      </c>
      <c r="C15" s="581">
        <v>0</v>
      </c>
    </row>
    <row r="16" spans="1:3">
      <c r="A16" s="300">
        <v>9</v>
      </c>
      <c r="B16" s="301" t="s">
        <v>445</v>
      </c>
      <c r="C16" s="581">
        <v>0</v>
      </c>
    </row>
    <row r="17" spans="1:3">
      <c r="A17" s="300">
        <v>10</v>
      </c>
      <c r="B17" s="301" t="s">
        <v>446</v>
      </c>
      <c r="C17" s="581">
        <v>0</v>
      </c>
    </row>
    <row r="18" spans="1:3">
      <c r="A18" s="304">
        <v>11</v>
      </c>
      <c r="B18" s="305" t="s">
        <v>447</v>
      </c>
      <c r="C18" s="582">
        <f>SUM(C10:C17)</f>
        <v>1340787.6106</v>
      </c>
    </row>
    <row r="19" spans="1:3">
      <c r="A19" s="306" t="s">
        <v>448</v>
      </c>
      <c r="B19" s="307"/>
      <c r="C19" s="584"/>
    </row>
    <row r="20" spans="1:3" ht="24">
      <c r="A20" s="308">
        <v>12</v>
      </c>
      <c r="B20" s="298" t="s">
        <v>449</v>
      </c>
      <c r="C20" s="581">
        <v>0</v>
      </c>
    </row>
    <row r="21" spans="1:3">
      <c r="A21" s="308">
        <v>13</v>
      </c>
      <c r="B21" s="298" t="s">
        <v>450</v>
      </c>
      <c r="C21" s="581">
        <v>0</v>
      </c>
    </row>
    <row r="22" spans="1:3">
      <c r="A22" s="308">
        <v>14</v>
      </c>
      <c r="B22" s="298" t="s">
        <v>451</v>
      </c>
      <c r="C22" s="581">
        <v>0</v>
      </c>
    </row>
    <row r="23" spans="1:3" ht="24">
      <c r="A23" s="308" t="s">
        <v>452</v>
      </c>
      <c r="B23" s="298" t="s">
        <v>453</v>
      </c>
      <c r="C23" s="581">
        <v>0</v>
      </c>
    </row>
    <row r="24" spans="1:3">
      <c r="A24" s="308">
        <v>15</v>
      </c>
      <c r="B24" s="298" t="s">
        <v>454</v>
      </c>
      <c r="C24" s="581">
        <v>0</v>
      </c>
    </row>
    <row r="25" spans="1:3">
      <c r="A25" s="308" t="s">
        <v>455</v>
      </c>
      <c r="B25" s="298" t="s">
        <v>456</v>
      </c>
      <c r="C25" s="581">
        <v>0</v>
      </c>
    </row>
    <row r="26" spans="1:3">
      <c r="A26" s="309">
        <v>16</v>
      </c>
      <c r="B26" s="310" t="s">
        <v>457</v>
      </c>
      <c r="C26" s="582">
        <f>SUM(C20:C25)</f>
        <v>0</v>
      </c>
    </row>
    <row r="27" spans="1:3">
      <c r="A27" s="290" t="s">
        <v>458</v>
      </c>
      <c r="B27" s="291"/>
      <c r="C27" s="583"/>
    </row>
    <row r="28" spans="1:3">
      <c r="A28" s="311">
        <v>17</v>
      </c>
      <c r="B28" s="299" t="s">
        <v>459</v>
      </c>
      <c r="C28" s="581">
        <v>74423418.350000009</v>
      </c>
    </row>
    <row r="29" spans="1:3">
      <c r="A29" s="311">
        <v>18</v>
      </c>
      <c r="B29" s="299" t="s">
        <v>460</v>
      </c>
      <c r="C29" s="581">
        <v>-35008896.658000067</v>
      </c>
    </row>
    <row r="30" spans="1:3">
      <c r="A30" s="309">
        <v>19</v>
      </c>
      <c r="B30" s="310" t="s">
        <v>461</v>
      </c>
      <c r="C30" s="582">
        <f>C28+C29</f>
        <v>39414521.691999942</v>
      </c>
    </row>
    <row r="31" spans="1:3">
      <c r="A31" s="290" t="s">
        <v>462</v>
      </c>
      <c r="B31" s="291"/>
      <c r="C31" s="583"/>
    </row>
    <row r="32" spans="1:3" ht="24">
      <c r="A32" s="311" t="s">
        <v>463</v>
      </c>
      <c r="B32" s="298" t="s">
        <v>464</v>
      </c>
      <c r="C32" s="585">
        <v>0</v>
      </c>
    </row>
    <row r="33" spans="1:3">
      <c r="A33" s="311" t="s">
        <v>465</v>
      </c>
      <c r="B33" s="299" t="s">
        <v>466</v>
      </c>
      <c r="C33" s="585">
        <v>0</v>
      </c>
    </row>
    <row r="34" spans="1:3">
      <c r="A34" s="290" t="s">
        <v>467</v>
      </c>
      <c r="B34" s="291"/>
      <c r="C34" s="583"/>
    </row>
    <row r="35" spans="1:3">
      <c r="A35" s="312">
        <v>20</v>
      </c>
      <c r="B35" s="313" t="s">
        <v>468</v>
      </c>
      <c r="C35" s="585">
        <v>117539309.89999998</v>
      </c>
    </row>
    <row r="36" spans="1:3">
      <c r="A36" s="309">
        <v>21</v>
      </c>
      <c r="B36" s="310" t="s">
        <v>469</v>
      </c>
      <c r="C36" s="585">
        <v>1336945864.4525976</v>
      </c>
    </row>
    <row r="37" spans="1:3">
      <c r="A37" s="290" t="s">
        <v>470</v>
      </c>
      <c r="B37" s="291"/>
      <c r="C37" s="583"/>
    </row>
    <row r="38" spans="1:3">
      <c r="A38" s="309">
        <v>22</v>
      </c>
      <c r="B38" s="310" t="s">
        <v>470</v>
      </c>
      <c r="C38" s="586">
        <f>IFERROR(C35/C36,0)</f>
        <v>8.7916282196007653E-2</v>
      </c>
    </row>
    <row r="39" spans="1:3">
      <c r="A39" s="290" t="s">
        <v>471</v>
      </c>
      <c r="B39" s="291"/>
      <c r="C39" s="583"/>
    </row>
    <row r="40" spans="1:3">
      <c r="A40" s="314" t="s">
        <v>472</v>
      </c>
      <c r="B40" s="298" t="s">
        <v>473</v>
      </c>
      <c r="C40" s="585">
        <v>0</v>
      </c>
    </row>
    <row r="41" spans="1:3" ht="24">
      <c r="A41" s="315" t="s">
        <v>474</v>
      </c>
      <c r="B41" s="294" t="s">
        <v>475</v>
      </c>
      <c r="C41" s="585">
        <v>0</v>
      </c>
    </row>
    <row r="43" spans="1:3">
      <c r="B43" s="289"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7" activePane="bottomRight" state="frozen"/>
      <selection pane="topRight" activeCell="C1" sqref="C1"/>
      <selection pane="bottomLeft" activeCell="A6" sqref="A6"/>
      <selection pane="bottomRight" activeCell="F36" sqref="F36"/>
    </sheetView>
  </sheetViews>
  <sheetFormatPr defaultRowHeight="15"/>
  <cols>
    <col min="1" max="1" width="8.7109375" style="194"/>
    <col min="2" max="2" width="82.5703125" style="201" customWidth="1"/>
    <col min="3" max="7" width="17.5703125" style="194" customWidth="1"/>
  </cols>
  <sheetData>
    <row r="1" spans="1:7">
      <c r="A1" s="194" t="s">
        <v>30</v>
      </c>
      <c r="B1" s="3" t="str">
        <f>'Info '!C2</f>
        <v>Terabank</v>
      </c>
    </row>
    <row r="2" spans="1:7">
      <c r="A2" s="194" t="s">
        <v>31</v>
      </c>
      <c r="B2" s="340">
        <v>44377</v>
      </c>
    </row>
    <row r="4" spans="1:7" ht="15.75" thickBot="1">
      <c r="A4" s="194" t="s">
        <v>536</v>
      </c>
      <c r="B4" s="344" t="s">
        <v>497</v>
      </c>
    </row>
    <row r="5" spans="1:7">
      <c r="A5" s="345"/>
      <c r="B5" s="346"/>
      <c r="C5" s="658" t="s">
        <v>498</v>
      </c>
      <c r="D5" s="658"/>
      <c r="E5" s="658"/>
      <c r="F5" s="658"/>
      <c r="G5" s="659" t="s">
        <v>499</v>
      </c>
    </row>
    <row r="6" spans="1:7">
      <c r="A6" s="347"/>
      <c r="B6" s="348"/>
      <c r="C6" s="349" t="s">
        <v>500</v>
      </c>
      <c r="D6" s="349" t="s">
        <v>501</v>
      </c>
      <c r="E6" s="349" t="s">
        <v>502</v>
      </c>
      <c r="F6" s="349" t="s">
        <v>503</v>
      </c>
      <c r="G6" s="660"/>
    </row>
    <row r="7" spans="1:7">
      <c r="A7" s="350"/>
      <c r="B7" s="351" t="s">
        <v>504</v>
      </c>
      <c r="C7" s="352"/>
      <c r="D7" s="352"/>
      <c r="E7" s="352"/>
      <c r="F7" s="352"/>
      <c r="G7" s="353"/>
    </row>
    <row r="8" spans="1:7">
      <c r="A8" s="354">
        <v>1</v>
      </c>
      <c r="B8" s="355" t="s">
        <v>505</v>
      </c>
      <c r="C8" s="544">
        <f>SUM(C9:C10)</f>
        <v>117539309.89999998</v>
      </c>
      <c r="D8" s="544">
        <f>SUM(D9:D10)</f>
        <v>0</v>
      </c>
      <c r="E8" s="544">
        <f>SUM(E9:E10)</f>
        <v>0</v>
      </c>
      <c r="F8" s="544">
        <f>SUM(F9:F10)</f>
        <v>229884977.96070001</v>
      </c>
      <c r="G8" s="356">
        <f>SUM(G9:G10)</f>
        <v>347424287.86070001</v>
      </c>
    </row>
    <row r="9" spans="1:7">
      <c r="A9" s="354">
        <v>2</v>
      </c>
      <c r="B9" s="357" t="s">
        <v>506</v>
      </c>
      <c r="C9" s="544">
        <v>117539309.89999998</v>
      </c>
      <c r="D9" s="544">
        <v>0</v>
      </c>
      <c r="E9" s="544">
        <v>0</v>
      </c>
      <c r="F9" s="544">
        <v>40645476.57</v>
      </c>
      <c r="G9" s="356">
        <v>158184786.46999997</v>
      </c>
    </row>
    <row r="10" spans="1:7">
      <c r="A10" s="354">
        <v>3</v>
      </c>
      <c r="B10" s="357" t="s">
        <v>507</v>
      </c>
      <c r="C10" s="587"/>
      <c r="D10" s="587"/>
      <c r="E10" s="587"/>
      <c r="F10" s="544">
        <v>189239501.39070001</v>
      </c>
      <c r="G10" s="356">
        <v>189239501.39070001</v>
      </c>
    </row>
    <row r="11" spans="1:7" ht="14.45" customHeight="1">
      <c r="A11" s="354">
        <v>4</v>
      </c>
      <c r="B11" s="355" t="s">
        <v>508</v>
      </c>
      <c r="C11" s="544">
        <f t="shared" ref="C11:F11" si="0">SUM(C12:C13)</f>
        <v>173507639.92819989</v>
      </c>
      <c r="D11" s="544">
        <f t="shared" si="0"/>
        <v>135609551.82960001</v>
      </c>
      <c r="E11" s="544">
        <f t="shared" si="0"/>
        <v>72314586.795699999</v>
      </c>
      <c r="F11" s="544">
        <f t="shared" si="0"/>
        <v>10717322.640699999</v>
      </c>
      <c r="G11" s="356">
        <f>SUM(G12:G13)</f>
        <v>339963315.89013481</v>
      </c>
    </row>
    <row r="12" spans="1:7">
      <c r="A12" s="354">
        <v>5</v>
      </c>
      <c r="B12" s="357" t="s">
        <v>509</v>
      </c>
      <c r="C12" s="544">
        <v>135407083.43469989</v>
      </c>
      <c r="D12" s="588">
        <v>111748616.1824</v>
      </c>
      <c r="E12" s="544">
        <v>63763763.506899998</v>
      </c>
      <c r="F12" s="544">
        <v>8833348.6382999998</v>
      </c>
      <c r="G12" s="356">
        <v>303765171.17418486</v>
      </c>
    </row>
    <row r="13" spans="1:7">
      <c r="A13" s="354">
        <v>6</v>
      </c>
      <c r="B13" s="357" t="s">
        <v>510</v>
      </c>
      <c r="C13" s="544">
        <v>38100556.493499979</v>
      </c>
      <c r="D13" s="588">
        <v>23860935.647199996</v>
      </c>
      <c r="E13" s="544">
        <v>8550823.2887999993</v>
      </c>
      <c r="F13" s="544">
        <v>1883974.0024000001</v>
      </c>
      <c r="G13" s="356">
        <v>36198144.715949982</v>
      </c>
    </row>
    <row r="14" spans="1:7">
      <c r="A14" s="354">
        <v>7</v>
      </c>
      <c r="B14" s="355" t="s">
        <v>511</v>
      </c>
      <c r="C14" s="544">
        <f t="shared" ref="C14:F14" si="1">SUM(C15:C16)</f>
        <v>285262556.1128</v>
      </c>
      <c r="D14" s="544">
        <f t="shared" si="1"/>
        <v>179001480.36309999</v>
      </c>
      <c r="E14" s="544">
        <f t="shared" si="1"/>
        <v>73574247.066200003</v>
      </c>
      <c r="F14" s="544">
        <f t="shared" si="1"/>
        <v>227541.6</v>
      </c>
      <c r="G14" s="356">
        <f>SUM(G15:G16)</f>
        <v>175762335.93985003</v>
      </c>
    </row>
    <row r="15" spans="1:7" ht="39">
      <c r="A15" s="354">
        <v>8</v>
      </c>
      <c r="B15" s="357" t="s">
        <v>512</v>
      </c>
      <c r="C15" s="544">
        <v>246379099.6144</v>
      </c>
      <c r="D15" s="588">
        <v>31343783.599099997</v>
      </c>
      <c r="E15" s="544">
        <v>54031583.390500002</v>
      </c>
      <c r="F15" s="544">
        <v>227541.6</v>
      </c>
      <c r="G15" s="356">
        <v>165991004.10200003</v>
      </c>
    </row>
    <row r="16" spans="1:7" ht="26.25">
      <c r="A16" s="354">
        <v>9</v>
      </c>
      <c r="B16" s="357" t="s">
        <v>513</v>
      </c>
      <c r="C16" s="544">
        <v>38883456.498400003</v>
      </c>
      <c r="D16" s="588">
        <v>147657696.764</v>
      </c>
      <c r="E16" s="544">
        <v>19542663.675700001</v>
      </c>
      <c r="F16" s="544">
        <v>0</v>
      </c>
      <c r="G16" s="356">
        <v>9771331.8378500007</v>
      </c>
    </row>
    <row r="17" spans="1:7">
      <c r="A17" s="354">
        <v>10</v>
      </c>
      <c r="B17" s="355" t="s">
        <v>514</v>
      </c>
      <c r="C17" s="544">
        <v>0</v>
      </c>
      <c r="D17" s="588">
        <v>0</v>
      </c>
      <c r="E17" s="544">
        <v>0</v>
      </c>
      <c r="F17" s="544">
        <v>0</v>
      </c>
      <c r="G17" s="356">
        <v>0</v>
      </c>
    </row>
    <row r="18" spans="1:7">
      <c r="A18" s="354">
        <v>11</v>
      </c>
      <c r="B18" s="355" t="s">
        <v>515</v>
      </c>
      <c r="C18" s="544">
        <f>SUM(C19:C20)</f>
        <v>0</v>
      </c>
      <c r="D18" s="588">
        <f t="shared" ref="D18:G18" si="2">SUM(D19:D20)</f>
        <v>17739731.87890001</v>
      </c>
      <c r="E18" s="544">
        <f t="shared" si="2"/>
        <v>5211681.2699999996</v>
      </c>
      <c r="F18" s="544">
        <f t="shared" si="2"/>
        <v>10556362.821499994</v>
      </c>
      <c r="G18" s="356">
        <f t="shared" si="2"/>
        <v>0</v>
      </c>
    </row>
    <row r="19" spans="1:7">
      <c r="A19" s="354">
        <v>12</v>
      </c>
      <c r="B19" s="357" t="s">
        <v>516</v>
      </c>
      <c r="C19" s="587"/>
      <c r="D19" s="588">
        <v>49850.299999999814</v>
      </c>
      <c r="E19" s="544">
        <v>0</v>
      </c>
      <c r="F19" s="544">
        <v>0</v>
      </c>
      <c r="G19" s="356">
        <v>0</v>
      </c>
    </row>
    <row r="20" spans="1:7">
      <c r="A20" s="354">
        <v>13</v>
      </c>
      <c r="B20" s="357" t="s">
        <v>517</v>
      </c>
      <c r="C20" s="544">
        <v>0</v>
      </c>
      <c r="D20" s="544">
        <v>17689881.578900009</v>
      </c>
      <c r="E20" s="544">
        <v>5211681.2699999996</v>
      </c>
      <c r="F20" s="544">
        <v>10556362.821499994</v>
      </c>
      <c r="G20" s="356">
        <v>0</v>
      </c>
    </row>
    <row r="21" spans="1:7">
      <c r="A21" s="358">
        <v>14</v>
      </c>
      <c r="B21" s="359" t="s">
        <v>518</v>
      </c>
      <c r="C21" s="587"/>
      <c r="D21" s="587"/>
      <c r="E21" s="587"/>
      <c r="F21" s="587"/>
      <c r="G21" s="360">
        <f>SUM(G8,G11,G14,G17,G18)</f>
        <v>863149939.6906848</v>
      </c>
    </row>
    <row r="22" spans="1:7">
      <c r="A22" s="361"/>
      <c r="B22" s="362" t="s">
        <v>519</v>
      </c>
      <c r="C22" s="363"/>
      <c r="D22" s="364"/>
      <c r="E22" s="363"/>
      <c r="F22" s="363"/>
      <c r="G22" s="365"/>
    </row>
    <row r="23" spans="1:7">
      <c r="A23" s="354">
        <v>15</v>
      </c>
      <c r="B23" s="355" t="s">
        <v>520</v>
      </c>
      <c r="C23" s="545">
        <v>279961832.91280001</v>
      </c>
      <c r="D23" s="554">
        <v>115585800</v>
      </c>
      <c r="E23" s="545">
        <v>0</v>
      </c>
      <c r="F23" s="545">
        <v>2261091.2000000002</v>
      </c>
      <c r="G23" s="356">
        <v>11234641.100620002</v>
      </c>
    </row>
    <row r="24" spans="1:7">
      <c r="A24" s="354">
        <v>16</v>
      </c>
      <c r="B24" s="355" t="s">
        <v>521</v>
      </c>
      <c r="C24" s="544">
        <f>SUM(C25:C27,C29,C31)</f>
        <v>1405504.6106999998</v>
      </c>
      <c r="D24" s="588">
        <f t="shared" ref="D24:G24" si="3">SUM(D25:D27,D29,D31)</f>
        <v>207469172.48483807</v>
      </c>
      <c r="E24" s="544">
        <f t="shared" si="3"/>
        <v>115350182.26440448</v>
      </c>
      <c r="F24" s="544">
        <f t="shared" si="3"/>
        <v>405414689.43159479</v>
      </c>
      <c r="G24" s="356">
        <f t="shared" si="3"/>
        <v>486675174.75282204</v>
      </c>
    </row>
    <row r="25" spans="1:7">
      <c r="A25" s="354">
        <v>17</v>
      </c>
      <c r="B25" s="357" t="s">
        <v>522</v>
      </c>
      <c r="C25" s="544" t="s">
        <v>744</v>
      </c>
      <c r="D25" s="588">
        <v>0</v>
      </c>
      <c r="E25" s="544">
        <v>0</v>
      </c>
      <c r="F25" s="544">
        <v>0</v>
      </c>
      <c r="G25" s="356">
        <v>0</v>
      </c>
    </row>
    <row r="26" spans="1:7" ht="26.25">
      <c r="A26" s="354">
        <v>18</v>
      </c>
      <c r="B26" s="357" t="s">
        <v>523</v>
      </c>
      <c r="C26" s="544">
        <v>1405504.6106999998</v>
      </c>
      <c r="D26" s="588">
        <v>23165848.200000003</v>
      </c>
      <c r="E26" s="544">
        <v>191970.40287467031</v>
      </c>
      <c r="F26" s="544">
        <v>1373293.972461283</v>
      </c>
      <c r="G26" s="356">
        <v>5154982.095503618</v>
      </c>
    </row>
    <row r="27" spans="1:7">
      <c r="A27" s="354">
        <v>19</v>
      </c>
      <c r="B27" s="357" t="s">
        <v>524</v>
      </c>
      <c r="C27" s="544" t="s">
        <v>744</v>
      </c>
      <c r="D27" s="588">
        <v>84591063.865736008</v>
      </c>
      <c r="E27" s="544">
        <v>40916224.826325208</v>
      </c>
      <c r="F27" s="544">
        <v>137758417.88615233</v>
      </c>
      <c r="G27" s="356">
        <v>179848299.54926008</v>
      </c>
    </row>
    <row r="28" spans="1:7">
      <c r="A28" s="354">
        <v>20</v>
      </c>
      <c r="B28" s="366" t="s">
        <v>525</v>
      </c>
      <c r="C28" s="544">
        <v>0</v>
      </c>
      <c r="D28" s="588">
        <v>0</v>
      </c>
      <c r="E28" s="544">
        <v>0</v>
      </c>
      <c r="F28" s="544">
        <v>0</v>
      </c>
      <c r="G28" s="356">
        <v>0</v>
      </c>
    </row>
    <row r="29" spans="1:7">
      <c r="A29" s="354">
        <v>21</v>
      </c>
      <c r="B29" s="357" t="s">
        <v>526</v>
      </c>
      <c r="C29" s="544" t="s">
        <v>744</v>
      </c>
      <c r="D29" s="588">
        <v>98969326.119102031</v>
      </c>
      <c r="E29" s="544">
        <v>73500305.945204586</v>
      </c>
      <c r="F29" s="544">
        <v>261761096.50498113</v>
      </c>
      <c r="G29" s="356">
        <v>297085986.50525832</v>
      </c>
    </row>
    <row r="30" spans="1:7">
      <c r="A30" s="354">
        <v>22</v>
      </c>
      <c r="B30" s="366" t="s">
        <v>525</v>
      </c>
      <c r="C30" s="544">
        <v>0</v>
      </c>
      <c r="D30" s="588">
        <v>19851266.859547194</v>
      </c>
      <c r="E30" s="544">
        <v>15545219.570272153</v>
      </c>
      <c r="F30" s="544">
        <v>58228807.780644819</v>
      </c>
      <c r="G30" s="356">
        <v>55546968.272328809</v>
      </c>
    </row>
    <row r="31" spans="1:7">
      <c r="A31" s="354">
        <v>23</v>
      </c>
      <c r="B31" s="357" t="s">
        <v>527</v>
      </c>
      <c r="C31" s="544" t="s">
        <v>744</v>
      </c>
      <c r="D31" s="588">
        <v>742934.3</v>
      </c>
      <c r="E31" s="544">
        <v>741681.08999999985</v>
      </c>
      <c r="F31" s="544">
        <v>4521881.068</v>
      </c>
      <c r="G31" s="356">
        <v>4585906.6027999995</v>
      </c>
    </row>
    <row r="32" spans="1:7">
      <c r="A32" s="354">
        <v>24</v>
      </c>
      <c r="B32" s="355" t="s">
        <v>528</v>
      </c>
      <c r="C32" s="544">
        <v>0</v>
      </c>
      <c r="D32" s="588">
        <v>0</v>
      </c>
      <c r="E32" s="544">
        <v>0</v>
      </c>
      <c r="F32" s="544">
        <v>0</v>
      </c>
      <c r="G32" s="356">
        <v>0</v>
      </c>
    </row>
    <row r="33" spans="1:7">
      <c r="A33" s="354">
        <v>25</v>
      </c>
      <c r="B33" s="355" t="s">
        <v>529</v>
      </c>
      <c r="C33" s="544">
        <f>SUM(C34:C35)</f>
        <v>26411649.110000007</v>
      </c>
      <c r="D33" s="544">
        <f>SUM(D34:D35)</f>
        <v>7232257.3633234017</v>
      </c>
      <c r="E33" s="544">
        <f>SUM(E34:E35)</f>
        <v>4524463.0742561277</v>
      </c>
      <c r="F33" s="544">
        <f>SUM(F34:F35)</f>
        <v>141476302.78755116</v>
      </c>
      <c r="G33" s="356">
        <f>SUM(G34:G35)</f>
        <v>173930994.39134094</v>
      </c>
    </row>
    <row r="34" spans="1:7">
      <c r="A34" s="354">
        <v>26</v>
      </c>
      <c r="B34" s="357" t="s">
        <v>530</v>
      </c>
      <c r="C34" s="587"/>
      <c r="D34" s="588">
        <v>329364.54999999609</v>
      </c>
      <c r="E34" s="544">
        <v>0</v>
      </c>
      <c r="F34" s="544">
        <v>0</v>
      </c>
      <c r="G34" s="356">
        <v>329364.54999999609</v>
      </c>
    </row>
    <row r="35" spans="1:7">
      <c r="A35" s="354">
        <v>27</v>
      </c>
      <c r="B35" s="357" t="s">
        <v>531</v>
      </c>
      <c r="C35" s="544">
        <v>26411649.110000007</v>
      </c>
      <c r="D35" s="588">
        <v>6902892.8133234056</v>
      </c>
      <c r="E35" s="544">
        <v>4524463.0742561277</v>
      </c>
      <c r="F35" s="544">
        <v>141476302.78755116</v>
      </c>
      <c r="G35" s="356">
        <v>173601629.84134096</v>
      </c>
    </row>
    <row r="36" spans="1:7">
      <c r="A36" s="354">
        <v>28</v>
      </c>
      <c r="B36" s="355" t="s">
        <v>532</v>
      </c>
      <c r="C36" s="544">
        <v>0</v>
      </c>
      <c r="D36" s="588">
        <v>16106488.547800003</v>
      </c>
      <c r="E36" s="544">
        <v>18754757.845599994</v>
      </c>
      <c r="F36" s="544">
        <v>38680184.145800054</v>
      </c>
      <c r="G36" s="356">
        <v>7478273.6288900021</v>
      </c>
    </row>
    <row r="37" spans="1:7">
      <c r="A37" s="358">
        <v>29</v>
      </c>
      <c r="B37" s="359" t="s">
        <v>533</v>
      </c>
      <c r="C37" s="587"/>
      <c r="D37" s="587"/>
      <c r="E37" s="587"/>
      <c r="F37" s="587"/>
      <c r="G37" s="360">
        <f>SUM(G23:G24,G32:G33,G36)</f>
        <v>679319083.87367308</v>
      </c>
    </row>
    <row r="38" spans="1:7">
      <c r="A38" s="350"/>
      <c r="B38" s="367"/>
      <c r="C38" s="368"/>
      <c r="D38" s="368"/>
      <c r="E38" s="368"/>
      <c r="F38" s="368"/>
      <c r="G38" s="369"/>
    </row>
    <row r="39" spans="1:7" ht="15.75" thickBot="1">
      <c r="A39" s="370">
        <v>30</v>
      </c>
      <c r="B39" s="371" t="s">
        <v>534</v>
      </c>
      <c r="C39" s="254"/>
      <c r="D39" s="255"/>
      <c r="E39" s="255"/>
      <c r="F39" s="256"/>
      <c r="G39" s="372">
        <f>IFERROR(G21/G37,0)</f>
        <v>1.270610468895935</v>
      </c>
    </row>
    <row r="42" spans="1:7" ht="39">
      <c r="B42" s="201"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32" activePane="bottomRight" state="frozen"/>
      <selection activeCell="B9" sqref="B9"/>
      <selection pane="topRight" activeCell="B9" sqref="B9"/>
      <selection pane="bottomLeft" activeCell="B9" sqref="B9"/>
      <selection pane="bottomRight" activeCell="B57" sqref="B57"/>
    </sheetView>
  </sheetViews>
  <sheetFormatPr defaultColWidth="9.140625" defaultRowHeight="14.25"/>
  <cols>
    <col min="1" max="1" width="9.5703125" style="3" bestFit="1" customWidth="1"/>
    <col min="2" max="2" width="86" style="3" customWidth="1"/>
    <col min="3" max="3" width="12.7109375" style="3" customWidth="1"/>
    <col min="4" max="4" width="12.7109375" style="4" customWidth="1"/>
    <col min="5" max="6" width="13.28515625" style="4" bestFit="1" customWidth="1"/>
    <col min="7" max="7" width="12.7109375" style="4" customWidth="1"/>
    <col min="8" max="13" width="6.7109375" style="5" customWidth="1"/>
    <col min="14" max="16384" width="9.140625" style="5"/>
  </cols>
  <sheetData>
    <row r="1" spans="1:7">
      <c r="A1" s="2" t="s">
        <v>30</v>
      </c>
      <c r="B1" s="3" t="str">
        <f>'Info '!C2</f>
        <v>Terabank</v>
      </c>
    </row>
    <row r="2" spans="1:7">
      <c r="A2" s="2" t="s">
        <v>31</v>
      </c>
      <c r="B2" s="340">
        <v>44377</v>
      </c>
    </row>
    <row r="3" spans="1:7">
      <c r="A3" s="2"/>
    </row>
    <row r="4" spans="1:7" ht="15" thickBot="1">
      <c r="A4" s="6" t="s">
        <v>140</v>
      </c>
      <c r="B4" s="7" t="s">
        <v>139</v>
      </c>
      <c r="C4" s="7"/>
      <c r="D4" s="7"/>
      <c r="E4" s="7"/>
      <c r="F4" s="7"/>
      <c r="G4" s="7"/>
    </row>
    <row r="5" spans="1:7">
      <c r="A5" s="8" t="s">
        <v>6</v>
      </c>
      <c r="B5" s="9"/>
      <c r="C5" s="338" t="str">
        <f>INT((MONTH($B$2))/3)&amp;"Q"&amp;"-"&amp;YEAR($B$2)</f>
        <v>2Q-2021</v>
      </c>
      <c r="D5" s="338" t="str">
        <f>IF(INT(MONTH($B$2))=3, "4"&amp;"Q"&amp;"-"&amp;YEAR($B$2)-1, IF(INT(MONTH($B$2))=6, "1"&amp;"Q"&amp;"-"&amp;YEAR($B$2), IF(INT(MONTH($B$2))=9, "2"&amp;"Q"&amp;"-"&amp;YEAR($B$2),IF(INT(MONTH($B$2))=12, "3"&amp;"Q"&amp;"-"&amp;YEAR($B$2), 0))))</f>
        <v>1Q-2021</v>
      </c>
      <c r="E5" s="338" t="str">
        <f>IF(INT(MONTH($B$2))=3, "3"&amp;"Q"&amp;"-"&amp;YEAR($B$2)-1, IF(INT(MONTH($B$2))=6, "4"&amp;"Q"&amp;"-"&amp;YEAR($B$2)-1, IF(INT(MONTH($B$2))=9, "1"&amp;"Q"&amp;"-"&amp;YEAR($B$2),IF(INT(MONTH($B$2))=12, "2"&amp;"Q"&amp;"-"&amp;YEAR($B$2), 0))))</f>
        <v>4Q-2020</v>
      </c>
      <c r="F5" s="338" t="str">
        <f>IF(INT(MONTH($B$2))=3, "2"&amp;"Q"&amp;"-"&amp;YEAR($B$2)-1, IF(INT(MONTH($B$2))=6, "3"&amp;"Q"&amp;"-"&amp;YEAR($B$2)-1, IF(INT(MONTH($B$2))=9, "4"&amp;"Q"&amp;"-"&amp;YEAR($B$2)-1,IF(INT(MONTH($B$2))=12, "1"&amp;"Q"&amp;"-"&amp;YEAR($B$2), 0))))</f>
        <v>3Q-2020</v>
      </c>
      <c r="G5" s="339" t="str">
        <f>IF(INT(MONTH($B$2))=3, "1"&amp;"Q"&amp;"-"&amp;YEAR($B$2)-1, IF(INT(MONTH($B$2))=6, "2"&amp;"Q"&amp;"-"&amp;YEAR($B$2)-1, IF(INT(MONTH($B$2))=9, "3"&amp;"Q"&amp;"-"&amp;YEAR($B$2)-1,IF(INT(MONTH($B$2))=12, "4"&amp;"Q"&amp;"-"&amp;YEAR($B$2)-1, 0))))</f>
        <v>2Q-2020</v>
      </c>
    </row>
    <row r="6" spans="1:7">
      <c r="B6" s="173" t="s">
        <v>138</v>
      </c>
      <c r="C6" s="241"/>
      <c r="D6" s="241"/>
      <c r="E6" s="241"/>
      <c r="F6" s="241"/>
      <c r="G6" s="430"/>
    </row>
    <row r="7" spans="1:7">
      <c r="A7" s="10"/>
      <c r="B7" s="174" t="s">
        <v>136</v>
      </c>
      <c r="C7" s="241"/>
      <c r="D7" s="241"/>
      <c r="E7" s="241"/>
      <c r="F7" s="241"/>
      <c r="G7" s="430"/>
    </row>
    <row r="8" spans="1:7">
      <c r="A8" s="8">
        <v>1</v>
      </c>
      <c r="B8" s="11" t="s">
        <v>487</v>
      </c>
      <c r="C8" s="431">
        <v>117539309.89999998</v>
      </c>
      <c r="D8" s="432">
        <v>109621501.12000002</v>
      </c>
      <c r="E8" s="432">
        <v>102541789.95999981</v>
      </c>
      <c r="F8" s="432">
        <v>101028332.58999997</v>
      </c>
      <c r="G8" s="432">
        <v>96484633.270000085</v>
      </c>
    </row>
    <row r="9" spans="1:7">
      <c r="A9" s="8">
        <v>2</v>
      </c>
      <c r="B9" s="11" t="s">
        <v>488</v>
      </c>
      <c r="C9" s="431">
        <v>117539309.89999998</v>
      </c>
      <c r="D9" s="432">
        <v>109621501.12000002</v>
      </c>
      <c r="E9" s="432">
        <v>102541789.95999981</v>
      </c>
      <c r="F9" s="432">
        <v>101028332.58999997</v>
      </c>
      <c r="G9" s="432">
        <v>96484633.270000085</v>
      </c>
    </row>
    <row r="10" spans="1:7">
      <c r="A10" s="8">
        <v>3</v>
      </c>
      <c r="B10" s="11" t="s">
        <v>245</v>
      </c>
      <c r="C10" s="431">
        <v>170432591.27043557</v>
      </c>
      <c r="D10" s="432">
        <v>170706047.02025315</v>
      </c>
      <c r="E10" s="432">
        <v>160530749.12373734</v>
      </c>
      <c r="F10" s="432">
        <v>161137592.89336559</v>
      </c>
      <c r="G10" s="432">
        <v>152741011.19189069</v>
      </c>
    </row>
    <row r="11" spans="1:7">
      <c r="A11" s="8">
        <v>4</v>
      </c>
      <c r="B11" s="11" t="s">
        <v>490</v>
      </c>
      <c r="C11" s="433">
        <v>67562888.890113622</v>
      </c>
      <c r="D11" s="434">
        <v>69721108.361561388</v>
      </c>
      <c r="E11" s="434">
        <v>59346101.396116592</v>
      </c>
      <c r="F11" s="434">
        <v>59314845.281158179</v>
      </c>
      <c r="G11" s="435">
        <v>53028415.019578509</v>
      </c>
    </row>
    <row r="12" spans="1:7">
      <c r="A12" s="8">
        <v>5</v>
      </c>
      <c r="B12" s="11" t="s">
        <v>491</v>
      </c>
      <c r="C12" s="433">
        <v>90117179.82104367</v>
      </c>
      <c r="D12" s="434">
        <v>92997502.363803014</v>
      </c>
      <c r="E12" s="434">
        <v>79161981.000491947</v>
      </c>
      <c r="F12" s="434">
        <v>79121893.595452741</v>
      </c>
      <c r="G12" s="435">
        <v>70735263.086167067</v>
      </c>
    </row>
    <row r="13" spans="1:7">
      <c r="A13" s="8">
        <v>6</v>
      </c>
      <c r="B13" s="11" t="s">
        <v>489</v>
      </c>
      <c r="C13" s="433">
        <v>139149563.60297608</v>
      </c>
      <c r="D13" s="434">
        <v>143690154.16358376</v>
      </c>
      <c r="E13" s="434">
        <v>134692303.79187974</v>
      </c>
      <c r="F13" s="434">
        <v>134370663.78497708</v>
      </c>
      <c r="G13" s="435">
        <v>120432794.13456324</v>
      </c>
    </row>
    <row r="14" spans="1:7">
      <c r="A14" s="10"/>
      <c r="B14" s="173" t="s">
        <v>493</v>
      </c>
      <c r="C14" s="241"/>
      <c r="D14" s="241"/>
      <c r="E14" s="241"/>
      <c r="F14" s="241"/>
      <c r="G14" s="430"/>
    </row>
    <row r="15" spans="1:7" ht="15" customHeight="1">
      <c r="A15" s="8">
        <v>7</v>
      </c>
      <c r="B15" s="11" t="s">
        <v>492</v>
      </c>
      <c r="C15" s="436">
        <v>1105639920.9348476</v>
      </c>
      <c r="D15" s="432">
        <v>1133530825.6302505</v>
      </c>
      <c r="E15" s="437">
        <v>1059976416.0590007</v>
      </c>
      <c r="F15" s="437">
        <v>1054574532.8080001</v>
      </c>
      <c r="G15" s="438">
        <v>945036348.83999848</v>
      </c>
    </row>
    <row r="16" spans="1:7">
      <c r="A16" s="10"/>
      <c r="B16" s="173" t="s">
        <v>494</v>
      </c>
      <c r="C16" s="241"/>
      <c r="D16" s="241"/>
      <c r="E16" s="241"/>
      <c r="F16" s="241"/>
      <c r="G16" s="430"/>
    </row>
    <row r="17" spans="1:7">
      <c r="A17" s="8"/>
      <c r="B17" s="174" t="s">
        <v>478</v>
      </c>
      <c r="C17" s="241"/>
      <c r="D17" s="241"/>
      <c r="E17" s="241"/>
      <c r="F17" s="241"/>
      <c r="G17" s="430"/>
    </row>
    <row r="18" spans="1:7">
      <c r="A18" s="8">
        <v>8</v>
      </c>
      <c r="B18" s="11" t="s">
        <v>487</v>
      </c>
      <c r="C18" s="439">
        <v>0.10630885125838926</v>
      </c>
      <c r="D18" s="440">
        <v>9.6708001795231077E-2</v>
      </c>
      <c r="E18" s="440">
        <v>9.6739690059568367E-2</v>
      </c>
      <c r="F18" s="440">
        <v>9.5800087568010311E-2</v>
      </c>
      <c r="G18" s="441">
        <v>0.10209621395878778</v>
      </c>
    </row>
    <row r="19" spans="1:7" ht="15" customHeight="1">
      <c r="A19" s="8">
        <v>9</v>
      </c>
      <c r="B19" s="11" t="s">
        <v>488</v>
      </c>
      <c r="C19" s="439">
        <v>0.10630885125838926</v>
      </c>
      <c r="D19" s="440">
        <v>9.6708001795231077E-2</v>
      </c>
      <c r="E19" s="440">
        <v>9.6739690059568367E-2</v>
      </c>
      <c r="F19" s="440">
        <v>9.5800087568010311E-2</v>
      </c>
      <c r="G19" s="441">
        <v>0.10209621395878778</v>
      </c>
    </row>
    <row r="20" spans="1:7">
      <c r="A20" s="8">
        <v>10</v>
      </c>
      <c r="B20" s="11" t="s">
        <v>245</v>
      </c>
      <c r="C20" s="439">
        <v>0.15414836968470741</v>
      </c>
      <c r="D20" s="440">
        <v>0.15059673999190934</v>
      </c>
      <c r="E20" s="440">
        <v>0.15144747250188048</v>
      </c>
      <c r="F20" s="440">
        <v>0.15279867650919551</v>
      </c>
      <c r="G20" s="441">
        <v>0.1616244828882776</v>
      </c>
    </row>
    <row r="21" spans="1:7">
      <c r="A21" s="8">
        <v>11</v>
      </c>
      <c r="B21" s="11" t="s">
        <v>490</v>
      </c>
      <c r="C21" s="442">
        <v>6.110749766794548E-2</v>
      </c>
      <c r="D21" s="442">
        <v>6.1507906785680931E-2</v>
      </c>
      <c r="E21" s="442">
        <v>5.598813378958542E-2</v>
      </c>
      <c r="F21" s="442">
        <v>5.6245285122921956E-2</v>
      </c>
      <c r="G21" s="442">
        <v>5.6112566553306834E-2</v>
      </c>
    </row>
    <row r="22" spans="1:7">
      <c r="A22" s="8">
        <v>12</v>
      </c>
      <c r="B22" s="11" t="s">
        <v>491</v>
      </c>
      <c r="C22" s="442">
        <v>8.1506807157295136E-2</v>
      </c>
      <c r="D22" s="442">
        <v>8.2042323209071802E-2</v>
      </c>
      <c r="E22" s="442">
        <v>7.4682775768555976E-2</v>
      </c>
      <c r="F22" s="442">
        <v>7.5027313038535118E-2</v>
      </c>
      <c r="G22" s="442">
        <v>7.4849251219799448E-2</v>
      </c>
    </row>
    <row r="23" spans="1:7">
      <c r="A23" s="8">
        <v>13</v>
      </c>
      <c r="B23" s="11" t="s">
        <v>489</v>
      </c>
      <c r="C23" s="442">
        <v>0.12585432288418227</v>
      </c>
      <c r="D23" s="442">
        <v>0.126763340629657</v>
      </c>
      <c r="E23" s="442">
        <v>0.1270710383280664</v>
      </c>
      <c r="F23" s="442">
        <v>0.12741694361534628</v>
      </c>
      <c r="G23" s="442">
        <v>0.12743720840197373</v>
      </c>
    </row>
    <row r="24" spans="1:7">
      <c r="A24" s="10"/>
      <c r="B24" s="173" t="s">
        <v>135</v>
      </c>
      <c r="C24" s="241"/>
      <c r="D24" s="241"/>
      <c r="E24" s="241"/>
      <c r="F24" s="241"/>
      <c r="G24" s="430"/>
    </row>
    <row r="25" spans="1:7" ht="15" customHeight="1">
      <c r="A25" s="341">
        <v>14</v>
      </c>
      <c r="B25" s="11" t="s">
        <v>134</v>
      </c>
      <c r="C25" s="443">
        <v>7.7078535087239275E-2</v>
      </c>
      <c r="D25" s="443">
        <v>7.4064490838191596E-2</v>
      </c>
      <c r="E25" s="443">
        <v>7.7817841012045114E-2</v>
      </c>
      <c r="F25" s="443">
        <v>7.7874935162442024E-2</v>
      </c>
      <c r="G25" s="444">
        <v>7.8709926699469496E-2</v>
      </c>
    </row>
    <row r="26" spans="1:7" ht="15">
      <c r="A26" s="341">
        <v>15</v>
      </c>
      <c r="B26" s="11" t="s">
        <v>133</v>
      </c>
      <c r="C26" s="443">
        <v>4.1002177850396088E-2</v>
      </c>
      <c r="D26" s="443">
        <v>4.0413603449773502E-2</v>
      </c>
      <c r="E26" s="443">
        <v>4.1379222976943068E-2</v>
      </c>
      <c r="F26" s="443">
        <v>4.1305140297601996E-2</v>
      </c>
      <c r="G26" s="444">
        <v>4.0629144363182053E-2</v>
      </c>
    </row>
    <row r="27" spans="1:7" ht="15">
      <c r="A27" s="341">
        <v>16</v>
      </c>
      <c r="B27" s="11" t="s">
        <v>132</v>
      </c>
      <c r="C27" s="445">
        <v>2.254420603586782E-2</v>
      </c>
      <c r="D27" s="443">
        <v>2.3213757742185342E-2</v>
      </c>
      <c r="E27" s="443">
        <v>1.2389632171424041E-2</v>
      </c>
      <c r="F27" s="443">
        <v>1.5900476895389294E-2</v>
      </c>
      <c r="G27" s="444">
        <v>1.8913243583104072E-2</v>
      </c>
    </row>
    <row r="28" spans="1:7" ht="15">
      <c r="A28" s="341">
        <v>17</v>
      </c>
      <c r="B28" s="11" t="s">
        <v>131</v>
      </c>
      <c r="C28" s="445">
        <v>3.6076357236843201E-2</v>
      </c>
      <c r="D28" s="443">
        <v>3.3650887388418087E-2</v>
      </c>
      <c r="E28" s="443">
        <v>3.6438618035102052E-2</v>
      </c>
      <c r="F28" s="443">
        <v>3.6569794864840029E-2</v>
      </c>
      <c r="G28" s="444">
        <v>3.8080782336287457E-2</v>
      </c>
    </row>
    <row r="29" spans="1:7" ht="15">
      <c r="A29" s="341">
        <v>18</v>
      </c>
      <c r="B29" s="11" t="s">
        <v>271</v>
      </c>
      <c r="C29" s="445">
        <v>2.2942414711770685E-2</v>
      </c>
      <c r="D29" s="443">
        <v>2.1506716452464058E-2</v>
      </c>
      <c r="E29" s="443">
        <v>-1.2275759053525463E-2</v>
      </c>
      <c r="F29" s="443">
        <v>-1.8404032849966553E-2</v>
      </c>
      <c r="G29" s="444">
        <v>-3.6937743299127128E-2</v>
      </c>
    </row>
    <row r="30" spans="1:7" ht="15">
      <c r="A30" s="341">
        <v>19</v>
      </c>
      <c r="B30" s="11" t="s">
        <v>272</v>
      </c>
      <c r="C30" s="445">
        <v>0.22635155335517654</v>
      </c>
      <c r="D30" s="443">
        <v>0.21486129695823081</v>
      </c>
      <c r="E30" s="443">
        <v>-0.10838720508629283</v>
      </c>
      <c r="F30" s="443">
        <v>-0.1570703488917761</v>
      </c>
      <c r="G30" s="444">
        <v>-0.30087678771847082</v>
      </c>
    </row>
    <row r="31" spans="1:7">
      <c r="A31" s="10"/>
      <c r="B31" s="173" t="s">
        <v>351</v>
      </c>
      <c r="C31" s="446"/>
      <c r="D31" s="446"/>
      <c r="E31" s="446"/>
      <c r="F31" s="446"/>
      <c r="G31" s="447"/>
    </row>
    <row r="32" spans="1:7" ht="15">
      <c r="A32" s="341">
        <v>20</v>
      </c>
      <c r="B32" s="11" t="s">
        <v>130</v>
      </c>
      <c r="C32" s="445">
        <v>6.8140105477074983E-2</v>
      </c>
      <c r="D32" s="443">
        <v>6.9921951460557394E-2</v>
      </c>
      <c r="E32" s="443">
        <v>7.2240640886518909E-2</v>
      </c>
      <c r="F32" s="443">
        <v>5.2185312917264338E-2</v>
      </c>
      <c r="G32" s="444">
        <v>6.7659101278442199E-2</v>
      </c>
    </row>
    <row r="33" spans="1:7" ht="15" customHeight="1">
      <c r="A33" s="341">
        <v>21</v>
      </c>
      <c r="B33" s="11" t="s">
        <v>129</v>
      </c>
      <c r="C33" s="445">
        <v>5.6147245315285484E-2</v>
      </c>
      <c r="D33" s="443">
        <v>5.7093094356388562E-2</v>
      </c>
      <c r="E33" s="443">
        <v>5.9114703239570507E-2</v>
      </c>
      <c r="F33" s="443">
        <v>6.5284445187443349E-2</v>
      </c>
      <c r="G33" s="444">
        <v>8.2790658124955036E-2</v>
      </c>
    </row>
    <row r="34" spans="1:7" ht="15">
      <c r="A34" s="341">
        <v>22</v>
      </c>
      <c r="B34" s="11" t="s">
        <v>128</v>
      </c>
      <c r="C34" s="445">
        <v>0.59519210904633968</v>
      </c>
      <c r="D34" s="443">
        <v>0.63156852259791352</v>
      </c>
      <c r="E34" s="443">
        <v>0.62863848087919993</v>
      </c>
      <c r="F34" s="443">
        <v>0.64172878135359779</v>
      </c>
      <c r="G34" s="444">
        <v>0.62438918539829058</v>
      </c>
    </row>
    <row r="35" spans="1:7" ht="15" customHeight="1">
      <c r="A35" s="341">
        <v>23</v>
      </c>
      <c r="B35" s="11" t="s">
        <v>127</v>
      </c>
      <c r="C35" s="445">
        <v>0.55583691322547357</v>
      </c>
      <c r="D35" s="443">
        <v>0.61179124082426106</v>
      </c>
      <c r="E35" s="443">
        <v>0.59865468832544499</v>
      </c>
      <c r="F35" s="443">
        <v>0.60427876072514053</v>
      </c>
      <c r="G35" s="444">
        <v>0.59609508494074537</v>
      </c>
    </row>
    <row r="36" spans="1:7" ht="15">
      <c r="A36" s="341">
        <v>24</v>
      </c>
      <c r="B36" s="11" t="s">
        <v>126</v>
      </c>
      <c r="C36" s="445">
        <v>2.4399238775824207E-2</v>
      </c>
      <c r="D36" s="443">
        <v>4.2016232781066878E-2</v>
      </c>
      <c r="E36" s="443">
        <v>0.20099905280552549</v>
      </c>
      <c r="F36" s="443">
        <v>0.16093287139459622</v>
      </c>
      <c r="G36" s="444">
        <v>6.1634440740268526E-2</v>
      </c>
    </row>
    <row r="37" spans="1:7" ht="15" customHeight="1">
      <c r="A37" s="10"/>
      <c r="B37" s="173" t="s">
        <v>352</v>
      </c>
      <c r="C37" s="446"/>
      <c r="D37" s="446"/>
      <c r="E37" s="446"/>
      <c r="F37" s="446"/>
      <c r="G37" s="447"/>
    </row>
    <row r="38" spans="1:7" ht="15" customHeight="1">
      <c r="A38" s="341">
        <v>25</v>
      </c>
      <c r="B38" s="11" t="s">
        <v>125</v>
      </c>
      <c r="C38" s="445">
        <v>0.20821737052630823</v>
      </c>
      <c r="D38" s="443">
        <v>0.2216475924158256</v>
      </c>
      <c r="E38" s="445">
        <v>0.20569996122821141</v>
      </c>
      <c r="F38" s="445">
        <v>0.20037260559646963</v>
      </c>
      <c r="G38" s="448">
        <v>0.18299446219469395</v>
      </c>
    </row>
    <row r="39" spans="1:7" ht="15" customHeight="1">
      <c r="A39" s="341">
        <v>26</v>
      </c>
      <c r="B39" s="11" t="s">
        <v>124</v>
      </c>
      <c r="C39" s="445">
        <v>0.61261553221846121</v>
      </c>
      <c r="D39" s="443">
        <v>0.67300940590410796</v>
      </c>
      <c r="E39" s="445">
        <v>0.65864963141201838</v>
      </c>
      <c r="F39" s="445">
        <v>0.66451831309809084</v>
      </c>
      <c r="G39" s="448">
        <v>0.65831119374528912</v>
      </c>
    </row>
    <row r="40" spans="1:7" ht="15" customHeight="1">
      <c r="A40" s="341">
        <v>27</v>
      </c>
      <c r="B40" s="11" t="s">
        <v>123</v>
      </c>
      <c r="C40" s="445">
        <v>0.35948163206570921</v>
      </c>
      <c r="D40" s="443">
        <v>0.38331218429686859</v>
      </c>
      <c r="E40" s="445">
        <v>0.3676450180463407</v>
      </c>
      <c r="F40" s="445">
        <v>0.38141321233034131</v>
      </c>
      <c r="G40" s="448">
        <v>0.32702628850072507</v>
      </c>
    </row>
    <row r="41" spans="1:7" ht="15" customHeight="1">
      <c r="A41" s="342"/>
      <c r="B41" s="173" t="s">
        <v>395</v>
      </c>
      <c r="C41" s="241"/>
      <c r="D41" s="241"/>
      <c r="E41" s="241"/>
      <c r="F41" s="241"/>
      <c r="G41" s="430"/>
    </row>
    <row r="42" spans="1:7" ht="15">
      <c r="A42" s="341">
        <v>28</v>
      </c>
      <c r="B42" s="11" t="s">
        <v>378</v>
      </c>
      <c r="C42" s="449">
        <v>298336258.7348811</v>
      </c>
      <c r="D42" s="449">
        <v>289264032.8139711</v>
      </c>
      <c r="E42" s="449">
        <v>264884270.43885708</v>
      </c>
      <c r="F42" s="449">
        <v>241639004.83403173</v>
      </c>
      <c r="G42" s="450">
        <v>220354395.05208892</v>
      </c>
    </row>
    <row r="43" spans="1:7" ht="15" customHeight="1">
      <c r="A43" s="341">
        <v>29</v>
      </c>
      <c r="B43" s="11" t="s">
        <v>390</v>
      </c>
      <c r="C43" s="449">
        <v>238985389.94118422</v>
      </c>
      <c r="D43" s="449">
        <v>240778295.8594408</v>
      </c>
      <c r="E43" s="451">
        <v>221952064.77880499</v>
      </c>
      <c r="F43" s="451">
        <v>193745939.50013483</v>
      </c>
      <c r="G43" s="452">
        <v>160867671.24180427</v>
      </c>
    </row>
    <row r="44" spans="1:7" ht="15" customHeight="1">
      <c r="A44" s="373">
        <v>30</v>
      </c>
      <c r="B44" s="374" t="s">
        <v>379</v>
      </c>
      <c r="C44" s="453">
        <v>1.2483451762817113</v>
      </c>
      <c r="D44" s="454">
        <v>1.2013708784733439</v>
      </c>
      <c r="E44" s="454">
        <v>1.1934300800618272</v>
      </c>
      <c r="F44" s="454">
        <v>1.2471951951997609</v>
      </c>
      <c r="G44" s="455">
        <v>1.3697866908315508</v>
      </c>
    </row>
    <row r="45" spans="1:7" ht="15" customHeight="1">
      <c r="A45" s="373"/>
      <c r="B45" s="173" t="s">
        <v>497</v>
      </c>
      <c r="C45" s="241"/>
      <c r="D45" s="241"/>
      <c r="E45" s="241"/>
      <c r="F45" s="241"/>
      <c r="G45" s="430"/>
    </row>
    <row r="46" spans="1:7" ht="15" customHeight="1">
      <c r="A46" s="373">
        <v>31</v>
      </c>
      <c r="B46" s="374" t="s">
        <v>504</v>
      </c>
      <c r="C46" s="456">
        <v>863149939.6906848</v>
      </c>
      <c r="D46" s="456">
        <v>853169392.72288966</v>
      </c>
      <c r="E46" s="456">
        <v>828136009.79051459</v>
      </c>
      <c r="F46" s="456">
        <v>807343465.24172497</v>
      </c>
      <c r="G46" s="457">
        <v>727631113.23463488</v>
      </c>
    </row>
    <row r="47" spans="1:7" ht="15" customHeight="1">
      <c r="A47" s="373">
        <v>32</v>
      </c>
      <c r="B47" s="374" t="s">
        <v>519</v>
      </c>
      <c r="C47" s="456">
        <v>679319083.87367308</v>
      </c>
      <c r="D47" s="456">
        <v>687992796.82591188</v>
      </c>
      <c r="E47" s="456">
        <v>685096938.77183557</v>
      </c>
      <c r="F47" s="456">
        <v>677070577.10934162</v>
      </c>
      <c r="G47" s="457">
        <v>599544249.26444614</v>
      </c>
    </row>
    <row r="48" spans="1:7" ht="15.75" thickBot="1">
      <c r="A48" s="343">
        <v>33</v>
      </c>
      <c r="B48" s="175" t="s">
        <v>537</v>
      </c>
      <c r="C48" s="458">
        <v>1.270610468895935</v>
      </c>
      <c r="D48" s="458">
        <v>1.2400847751008848</v>
      </c>
      <c r="E48" s="458">
        <v>1.2087866153293625</v>
      </c>
      <c r="F48" s="458">
        <v>1.1924066597142136</v>
      </c>
      <c r="G48" s="459">
        <v>1.2136403845543222</v>
      </c>
    </row>
    <row r="49" spans="1:2">
      <c r="A49" s="12"/>
    </row>
    <row r="50" spans="1:2" ht="38.25">
      <c r="B50" s="233" t="s">
        <v>479</v>
      </c>
    </row>
    <row r="51" spans="1:2" ht="51">
      <c r="B51" s="233" t="s">
        <v>394</v>
      </c>
    </row>
    <row r="53" spans="1:2">
      <c r="B53" s="23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B38" sqref="B38"/>
    </sheetView>
  </sheetViews>
  <sheetFormatPr defaultColWidth="9.140625" defaultRowHeight="12.75"/>
  <cols>
    <col min="1" max="1" width="11.85546875" style="383" bestFit="1" customWidth="1"/>
    <col min="2" max="2" width="105.140625" style="383" bestFit="1" customWidth="1"/>
    <col min="3" max="4" width="12.5703125" style="383" bestFit="1" customWidth="1"/>
    <col min="5" max="5" width="15.42578125" style="383" bestFit="1" customWidth="1"/>
    <col min="6" max="6" width="12.5703125" style="383" bestFit="1" customWidth="1"/>
    <col min="7" max="7" width="16.7109375" style="383" bestFit="1" customWidth="1"/>
    <col min="8" max="8" width="14.28515625" style="383" bestFit="1" customWidth="1"/>
    <col min="9" max="16384" width="9.140625" style="383"/>
  </cols>
  <sheetData>
    <row r="1" spans="1:8">
      <c r="A1" s="375" t="s">
        <v>30</v>
      </c>
    </row>
    <row r="2" spans="1:8" ht="13.5">
      <c r="A2" s="375" t="s">
        <v>31</v>
      </c>
      <c r="B2" s="408">
        <f>'1. key ratios '!B2</f>
        <v>44377</v>
      </c>
    </row>
    <row r="3" spans="1:8">
      <c r="A3" s="376" t="s">
        <v>544</v>
      </c>
    </row>
    <row r="5" spans="1:8" ht="15" customHeight="1">
      <c r="A5" s="661" t="s">
        <v>545</v>
      </c>
      <c r="B5" s="662"/>
      <c r="C5" s="667" t="s">
        <v>546</v>
      </c>
      <c r="D5" s="668"/>
      <c r="E5" s="668"/>
      <c r="F5" s="668"/>
      <c r="G5" s="668"/>
      <c r="H5" s="669"/>
    </row>
    <row r="6" spans="1:8">
      <c r="A6" s="663"/>
      <c r="B6" s="664"/>
      <c r="C6" s="670"/>
      <c r="D6" s="671"/>
      <c r="E6" s="671"/>
      <c r="F6" s="671"/>
      <c r="G6" s="671"/>
      <c r="H6" s="672"/>
    </row>
    <row r="7" spans="1:8">
      <c r="A7" s="665"/>
      <c r="B7" s="666"/>
      <c r="C7" s="405" t="s">
        <v>547</v>
      </c>
      <c r="D7" s="405" t="s">
        <v>548</v>
      </c>
      <c r="E7" s="405" t="s">
        <v>549</v>
      </c>
      <c r="F7" s="405" t="s">
        <v>550</v>
      </c>
      <c r="G7" s="405" t="s">
        <v>551</v>
      </c>
      <c r="H7" s="405" t="s">
        <v>109</v>
      </c>
    </row>
    <row r="8" spans="1:8">
      <c r="A8" s="378">
        <v>1</v>
      </c>
      <c r="B8" s="377" t="s">
        <v>96</v>
      </c>
      <c r="C8" s="589">
        <v>172709662.09</v>
      </c>
      <c r="D8" s="589">
        <v>48267776.760000005</v>
      </c>
      <c r="E8" s="589">
        <v>61802623.24000001</v>
      </c>
      <c r="F8" s="589">
        <v>10790000</v>
      </c>
      <c r="G8" s="589">
        <v>0</v>
      </c>
      <c r="H8" s="589">
        <f>SUM(C8:G8)</f>
        <v>293570062.09000003</v>
      </c>
    </row>
    <row r="9" spans="1:8">
      <c r="A9" s="378">
        <v>2</v>
      </c>
      <c r="B9" s="377" t="s">
        <v>97</v>
      </c>
      <c r="C9" s="589">
        <v>0</v>
      </c>
      <c r="D9" s="589">
        <v>0</v>
      </c>
      <c r="E9" s="589">
        <v>0</v>
      </c>
      <c r="F9" s="589">
        <v>0</v>
      </c>
      <c r="G9" s="589">
        <v>0</v>
      </c>
      <c r="H9" s="589">
        <f t="shared" ref="H9:H21" si="0">SUM(C9:G9)</f>
        <v>0</v>
      </c>
    </row>
    <row r="10" spans="1:8">
      <c r="A10" s="378">
        <v>3</v>
      </c>
      <c r="B10" s="377" t="s">
        <v>269</v>
      </c>
      <c r="C10" s="589">
        <v>0</v>
      </c>
      <c r="D10" s="589">
        <v>0</v>
      </c>
      <c r="E10" s="589">
        <v>0</v>
      </c>
      <c r="F10" s="589">
        <v>0</v>
      </c>
      <c r="G10" s="589">
        <v>0</v>
      </c>
      <c r="H10" s="589">
        <f t="shared" si="0"/>
        <v>0</v>
      </c>
    </row>
    <row r="11" spans="1:8">
      <c r="A11" s="378">
        <v>4</v>
      </c>
      <c r="B11" s="377" t="s">
        <v>98</v>
      </c>
      <c r="C11" s="589">
        <v>0</v>
      </c>
      <c r="D11" s="589">
        <v>0</v>
      </c>
      <c r="E11" s="589">
        <v>0</v>
      </c>
      <c r="F11" s="589">
        <v>0</v>
      </c>
      <c r="G11" s="589">
        <v>0</v>
      </c>
      <c r="H11" s="589">
        <f t="shared" si="0"/>
        <v>0</v>
      </c>
    </row>
    <row r="12" spans="1:8">
      <c r="A12" s="378">
        <v>5</v>
      </c>
      <c r="B12" s="377" t="s">
        <v>99</v>
      </c>
      <c r="C12" s="589">
        <v>0</v>
      </c>
      <c r="D12" s="589">
        <v>0</v>
      </c>
      <c r="E12" s="589">
        <v>0</v>
      </c>
      <c r="F12" s="589">
        <v>0</v>
      </c>
      <c r="G12" s="589">
        <v>0</v>
      </c>
      <c r="H12" s="589">
        <f t="shared" si="0"/>
        <v>0</v>
      </c>
    </row>
    <row r="13" spans="1:8">
      <c r="A13" s="378">
        <v>6</v>
      </c>
      <c r="B13" s="377" t="s">
        <v>100</v>
      </c>
      <c r="C13" s="589">
        <v>20923178.440000001</v>
      </c>
      <c r="D13" s="589">
        <v>0</v>
      </c>
      <c r="E13" s="589">
        <v>0</v>
      </c>
      <c r="F13" s="589">
        <v>2261091.2000000002</v>
      </c>
      <c r="G13" s="589">
        <v>0</v>
      </c>
      <c r="H13" s="589">
        <f t="shared" si="0"/>
        <v>23184269.640000001</v>
      </c>
    </row>
    <row r="14" spans="1:8">
      <c r="A14" s="378">
        <v>7</v>
      </c>
      <c r="B14" s="377" t="s">
        <v>101</v>
      </c>
      <c r="C14" s="589">
        <v>0</v>
      </c>
      <c r="D14" s="589">
        <v>104773238.2399978</v>
      </c>
      <c r="E14" s="589">
        <v>119323458.21000002</v>
      </c>
      <c r="F14" s="589">
        <v>259795059.78000003</v>
      </c>
      <c r="G14" s="589">
        <v>0</v>
      </c>
      <c r="H14" s="589">
        <f t="shared" si="0"/>
        <v>483891756.22999787</v>
      </c>
    </row>
    <row r="15" spans="1:8">
      <c r="A15" s="378">
        <v>8</v>
      </c>
      <c r="B15" s="377" t="s">
        <v>102</v>
      </c>
      <c r="C15" s="589">
        <v>0</v>
      </c>
      <c r="D15" s="589">
        <v>19810975.740000047</v>
      </c>
      <c r="E15" s="589">
        <v>121524947.4500003</v>
      </c>
      <c r="F15" s="589">
        <v>142647425.61999992</v>
      </c>
      <c r="G15" s="589">
        <v>503591.52999999997</v>
      </c>
      <c r="H15" s="589">
        <f t="shared" si="0"/>
        <v>284486940.34000027</v>
      </c>
    </row>
    <row r="16" spans="1:8">
      <c r="A16" s="378">
        <v>9</v>
      </c>
      <c r="B16" s="377" t="s">
        <v>103</v>
      </c>
      <c r="C16" s="589">
        <v>0</v>
      </c>
      <c r="D16" s="589">
        <v>5854542.8100000005</v>
      </c>
      <c r="E16" s="589">
        <v>36183734.470000006</v>
      </c>
      <c r="F16" s="589">
        <v>78647087.040000036</v>
      </c>
      <c r="G16" s="589">
        <v>0</v>
      </c>
      <c r="H16" s="589">
        <f t="shared" si="0"/>
        <v>120685364.32000005</v>
      </c>
    </row>
    <row r="17" spans="1:8">
      <c r="A17" s="378">
        <v>10</v>
      </c>
      <c r="B17" s="409" t="s">
        <v>563</v>
      </c>
      <c r="C17" s="589">
        <v>0</v>
      </c>
      <c r="D17" s="589">
        <v>971175.4800000001</v>
      </c>
      <c r="E17" s="589">
        <v>3084780.0200000005</v>
      </c>
      <c r="F17" s="589">
        <v>4163631.4300000011</v>
      </c>
      <c r="G17" s="589">
        <v>490854.48999999993</v>
      </c>
      <c r="H17" s="589">
        <f t="shared" si="0"/>
        <v>8710441.4200000018</v>
      </c>
    </row>
    <row r="18" spans="1:8">
      <c r="A18" s="378">
        <v>11</v>
      </c>
      <c r="B18" s="377" t="s">
        <v>105</v>
      </c>
      <c r="C18" s="589">
        <v>0</v>
      </c>
      <c r="D18" s="589">
        <v>506603.08000000013</v>
      </c>
      <c r="E18" s="589">
        <v>6402982.2399999984</v>
      </c>
      <c r="F18" s="589">
        <v>34521514.489999965</v>
      </c>
      <c r="G18" s="589">
        <v>0</v>
      </c>
      <c r="H18" s="589">
        <f t="shared" si="0"/>
        <v>41431099.809999965</v>
      </c>
    </row>
    <row r="19" spans="1:8">
      <c r="A19" s="378">
        <v>12</v>
      </c>
      <c r="B19" s="377" t="s">
        <v>106</v>
      </c>
      <c r="C19" s="589">
        <v>0</v>
      </c>
      <c r="D19" s="589">
        <v>0</v>
      </c>
      <c r="E19" s="589">
        <v>0</v>
      </c>
      <c r="F19" s="589">
        <v>0</v>
      </c>
      <c r="G19" s="589">
        <v>0</v>
      </c>
      <c r="H19" s="589">
        <f t="shared" si="0"/>
        <v>0</v>
      </c>
    </row>
    <row r="20" spans="1:8">
      <c r="A20" s="378">
        <v>13</v>
      </c>
      <c r="B20" s="377" t="s">
        <v>247</v>
      </c>
      <c r="C20" s="589">
        <v>0</v>
      </c>
      <c r="D20" s="589">
        <v>0</v>
      </c>
      <c r="E20" s="589">
        <v>0</v>
      </c>
      <c r="F20" s="589">
        <v>0</v>
      </c>
      <c r="G20" s="589">
        <v>0</v>
      </c>
      <c r="H20" s="589">
        <f t="shared" si="0"/>
        <v>0</v>
      </c>
    </row>
    <row r="21" spans="1:8">
      <c r="A21" s="378">
        <v>14</v>
      </c>
      <c r="B21" s="377" t="s">
        <v>108</v>
      </c>
      <c r="C21" s="589">
        <v>46789534.200000018</v>
      </c>
      <c r="D21" s="589">
        <v>0</v>
      </c>
      <c r="E21" s="589">
        <v>0</v>
      </c>
      <c r="F21" s="589">
        <v>7184282.943</v>
      </c>
      <c r="G21" s="589">
        <v>26411649.31000001</v>
      </c>
      <c r="H21" s="589">
        <f t="shared" si="0"/>
        <v>80385466.453000039</v>
      </c>
    </row>
    <row r="22" spans="1:8">
      <c r="A22" s="379">
        <v>15</v>
      </c>
      <c r="B22" s="385" t="s">
        <v>109</v>
      </c>
      <c r="C22" s="589">
        <f>SUM(C18:C21)+SUM(C8:C16)</f>
        <v>240422374.73000002</v>
      </c>
      <c r="D22" s="589">
        <f t="shared" ref="D22:G22" si="1">SUM(D18:D21)+SUM(D8:D16)</f>
        <v>179213136.62999785</v>
      </c>
      <c r="E22" s="589">
        <f t="shared" si="1"/>
        <v>345237745.61000037</v>
      </c>
      <c r="F22" s="589">
        <f t="shared" si="1"/>
        <v>535846461.07299989</v>
      </c>
      <c r="G22" s="589">
        <f t="shared" si="1"/>
        <v>26915240.840000011</v>
      </c>
      <c r="H22" s="589">
        <f>SUM(H18:H21)+SUM(H8:H16)</f>
        <v>1327634958.8829985</v>
      </c>
    </row>
    <row r="26" spans="1:8" ht="25.5">
      <c r="B26" s="410"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85" zoomScaleNormal="85" workbookViewId="0">
      <selection activeCell="H20" sqref="H20"/>
    </sheetView>
  </sheetViews>
  <sheetFormatPr defaultColWidth="9.140625" defaultRowHeight="12.75"/>
  <cols>
    <col min="1" max="1" width="11.85546875" style="411" bestFit="1" customWidth="1"/>
    <col min="2" max="2" width="114.7109375" style="383" customWidth="1"/>
    <col min="3" max="3" width="22.42578125" style="383" customWidth="1"/>
    <col min="4" max="4" width="23.5703125" style="383" customWidth="1"/>
    <col min="5" max="8" width="22.140625" style="383" customWidth="1"/>
    <col min="9" max="9" width="41.42578125" style="383" customWidth="1"/>
    <col min="10" max="16384" width="9.140625" style="383"/>
  </cols>
  <sheetData>
    <row r="1" spans="1:9">
      <c r="A1" s="375" t="s">
        <v>30</v>
      </c>
    </row>
    <row r="2" spans="1:9" ht="13.5">
      <c r="A2" s="375" t="s">
        <v>31</v>
      </c>
      <c r="B2" s="408">
        <f>'1. key ratios '!B2</f>
        <v>44377</v>
      </c>
    </row>
    <row r="3" spans="1:9">
      <c r="A3" s="376" t="s">
        <v>552</v>
      </c>
    </row>
    <row r="4" spans="1:9">
      <c r="C4" s="412" t="s">
        <v>0</v>
      </c>
      <c r="D4" s="412" t="s">
        <v>1</v>
      </c>
      <c r="E4" s="412" t="s">
        <v>2</v>
      </c>
      <c r="F4" s="412" t="s">
        <v>3</v>
      </c>
      <c r="G4" s="412" t="s">
        <v>4</v>
      </c>
      <c r="H4" s="412" t="s">
        <v>5</v>
      </c>
      <c r="I4" s="412" t="s">
        <v>8</v>
      </c>
    </row>
    <row r="5" spans="1:9" ht="44.25" customHeight="1">
      <c r="A5" s="661" t="s">
        <v>553</v>
      </c>
      <c r="B5" s="662"/>
      <c r="C5" s="675" t="s">
        <v>554</v>
      </c>
      <c r="D5" s="675"/>
      <c r="E5" s="675" t="s">
        <v>555</v>
      </c>
      <c r="F5" s="675" t="s">
        <v>556</v>
      </c>
      <c r="G5" s="673" t="s">
        <v>557</v>
      </c>
      <c r="H5" s="673" t="s">
        <v>558</v>
      </c>
      <c r="I5" s="413" t="s">
        <v>559</v>
      </c>
    </row>
    <row r="6" spans="1:9" ht="60" customHeight="1">
      <c r="A6" s="665"/>
      <c r="B6" s="666"/>
      <c r="C6" s="401" t="s">
        <v>560</v>
      </c>
      <c r="D6" s="401" t="s">
        <v>561</v>
      </c>
      <c r="E6" s="675"/>
      <c r="F6" s="675"/>
      <c r="G6" s="674"/>
      <c r="H6" s="674"/>
      <c r="I6" s="413" t="s">
        <v>562</v>
      </c>
    </row>
    <row r="7" spans="1:9">
      <c r="A7" s="381">
        <v>1</v>
      </c>
      <c r="B7" s="377" t="s">
        <v>96</v>
      </c>
      <c r="C7" s="590">
        <v>0</v>
      </c>
      <c r="D7" s="590">
        <v>293570062.08999991</v>
      </c>
      <c r="E7" s="591">
        <v>0</v>
      </c>
      <c r="F7" s="591">
        <v>0</v>
      </c>
      <c r="G7" s="591">
        <v>0</v>
      </c>
      <c r="H7" s="590">
        <v>0</v>
      </c>
      <c r="I7" s="592">
        <f t="shared" ref="I7:I23" si="0">C7+D7-E7-F7-G7</f>
        <v>293570062.08999991</v>
      </c>
    </row>
    <row r="8" spans="1:9">
      <c r="A8" s="381">
        <v>2</v>
      </c>
      <c r="B8" s="377" t="s">
        <v>97</v>
      </c>
      <c r="C8" s="590">
        <v>0</v>
      </c>
      <c r="D8" s="590">
        <v>0</v>
      </c>
      <c r="E8" s="591">
        <v>0</v>
      </c>
      <c r="F8" s="591">
        <v>0</v>
      </c>
      <c r="G8" s="591">
        <v>0</v>
      </c>
      <c r="H8" s="590">
        <v>0</v>
      </c>
      <c r="I8" s="592">
        <f t="shared" si="0"/>
        <v>0</v>
      </c>
    </row>
    <row r="9" spans="1:9">
      <c r="A9" s="381">
        <v>3</v>
      </c>
      <c r="B9" s="377" t="s">
        <v>269</v>
      </c>
      <c r="C9" s="590">
        <v>0</v>
      </c>
      <c r="D9" s="590">
        <v>0</v>
      </c>
      <c r="E9" s="591">
        <v>0</v>
      </c>
      <c r="F9" s="591">
        <v>0</v>
      </c>
      <c r="G9" s="591">
        <v>0</v>
      </c>
      <c r="H9" s="590">
        <v>0</v>
      </c>
      <c r="I9" s="592">
        <f t="shared" si="0"/>
        <v>0</v>
      </c>
    </row>
    <row r="10" spans="1:9">
      <c r="A10" s="381">
        <v>4</v>
      </c>
      <c r="B10" s="377" t="s">
        <v>98</v>
      </c>
      <c r="C10" s="590">
        <v>0</v>
      </c>
      <c r="D10" s="590">
        <v>0</v>
      </c>
      <c r="E10" s="591">
        <v>0</v>
      </c>
      <c r="F10" s="591">
        <v>0</v>
      </c>
      <c r="G10" s="591">
        <v>0</v>
      </c>
      <c r="H10" s="590">
        <v>0</v>
      </c>
      <c r="I10" s="592">
        <f t="shared" si="0"/>
        <v>0</v>
      </c>
    </row>
    <row r="11" spans="1:9">
      <c r="A11" s="381">
        <v>5</v>
      </c>
      <c r="B11" s="377" t="s">
        <v>99</v>
      </c>
      <c r="C11" s="590">
        <v>0</v>
      </c>
      <c r="D11" s="590">
        <v>0</v>
      </c>
      <c r="E11" s="591">
        <v>0</v>
      </c>
      <c r="F11" s="591">
        <v>0</v>
      </c>
      <c r="G11" s="591">
        <v>0</v>
      </c>
      <c r="H11" s="590">
        <v>0</v>
      </c>
      <c r="I11" s="592">
        <f t="shared" si="0"/>
        <v>0</v>
      </c>
    </row>
    <row r="12" spans="1:9">
      <c r="A12" s="381">
        <v>6</v>
      </c>
      <c r="B12" s="377" t="s">
        <v>100</v>
      </c>
      <c r="C12" s="590">
        <v>76681.67</v>
      </c>
      <c r="D12" s="590">
        <v>23184269.640000004</v>
      </c>
      <c r="E12" s="591">
        <v>76681.67</v>
      </c>
      <c r="F12" s="591">
        <v>0</v>
      </c>
      <c r="G12" s="591">
        <v>0</v>
      </c>
      <c r="H12" s="590">
        <v>0</v>
      </c>
      <c r="I12" s="592">
        <f t="shared" si="0"/>
        <v>23184269.640000004</v>
      </c>
    </row>
    <row r="13" spans="1:9">
      <c r="A13" s="381">
        <v>7</v>
      </c>
      <c r="B13" s="377" t="s">
        <v>101</v>
      </c>
      <c r="C13" s="590">
        <v>8932159.290000001</v>
      </c>
      <c r="D13" s="590">
        <v>485799341.86999977</v>
      </c>
      <c r="E13" s="591">
        <v>10770074.015600061</v>
      </c>
      <c r="F13" s="591">
        <v>7765961.4085999997</v>
      </c>
      <c r="G13" s="591">
        <v>0</v>
      </c>
      <c r="H13" s="590">
        <v>0</v>
      </c>
      <c r="I13" s="592">
        <f t="shared" si="0"/>
        <v>476195465.73579973</v>
      </c>
    </row>
    <row r="14" spans="1:9">
      <c r="A14" s="381">
        <v>8</v>
      </c>
      <c r="B14" s="377" t="s">
        <v>102</v>
      </c>
      <c r="C14" s="590">
        <v>48494661.279999986</v>
      </c>
      <c r="D14" s="590">
        <v>262035718.33999884</v>
      </c>
      <c r="E14" s="591">
        <v>25691008.249199953</v>
      </c>
      <c r="F14" s="591">
        <v>4343235.4752000198</v>
      </c>
      <c r="G14" s="591">
        <v>0</v>
      </c>
      <c r="H14" s="590">
        <v>846522.57999999984</v>
      </c>
      <c r="I14" s="592">
        <f t="shared" si="0"/>
        <v>280496135.89559889</v>
      </c>
    </row>
    <row r="15" spans="1:9">
      <c r="A15" s="381">
        <v>9</v>
      </c>
      <c r="B15" s="377" t="s">
        <v>103</v>
      </c>
      <c r="C15" s="590">
        <v>7256775.5699999984</v>
      </c>
      <c r="D15" s="590">
        <v>113428588.74999997</v>
      </c>
      <c r="E15" s="591">
        <v>422008.30519999989</v>
      </c>
      <c r="F15" s="591">
        <v>1991698.9812000003</v>
      </c>
      <c r="G15" s="591">
        <v>0</v>
      </c>
      <c r="H15" s="590">
        <v>0</v>
      </c>
      <c r="I15" s="592">
        <f t="shared" si="0"/>
        <v>118271657.03359997</v>
      </c>
    </row>
    <row r="16" spans="1:9">
      <c r="A16" s="381">
        <v>10</v>
      </c>
      <c r="B16" s="409" t="s">
        <v>563</v>
      </c>
      <c r="C16" s="590">
        <v>16754122.920000006</v>
      </c>
      <c r="D16" s="590">
        <v>34.950000000000003</v>
      </c>
      <c r="E16" s="591">
        <v>8043716.4000000013</v>
      </c>
      <c r="F16" s="591">
        <v>0</v>
      </c>
      <c r="G16" s="591">
        <v>0</v>
      </c>
      <c r="H16" s="590">
        <v>777814.08450000023</v>
      </c>
      <c r="I16" s="592">
        <f t="shared" si="0"/>
        <v>8710441.4700000025</v>
      </c>
    </row>
    <row r="17" spans="1:9">
      <c r="A17" s="381">
        <v>11</v>
      </c>
      <c r="B17" s="377" t="s">
        <v>105</v>
      </c>
      <c r="C17" s="590">
        <v>47440.45</v>
      </c>
      <c r="D17" s="590">
        <v>41405676.299999416</v>
      </c>
      <c r="E17" s="591">
        <v>22110.579999999998</v>
      </c>
      <c r="F17" s="591">
        <v>810657.14499999839</v>
      </c>
      <c r="G17" s="591">
        <v>0</v>
      </c>
      <c r="H17" s="590">
        <v>43132.05</v>
      </c>
      <c r="I17" s="592">
        <f t="shared" si="0"/>
        <v>40620349.024999425</v>
      </c>
    </row>
    <row r="18" spans="1:9">
      <c r="A18" s="381">
        <v>12</v>
      </c>
      <c r="B18" s="377" t="s">
        <v>106</v>
      </c>
      <c r="C18" s="590">
        <v>0</v>
      </c>
      <c r="D18" s="590">
        <v>0</v>
      </c>
      <c r="E18" s="591">
        <v>0</v>
      </c>
      <c r="F18" s="591">
        <v>0</v>
      </c>
      <c r="G18" s="591">
        <v>0</v>
      </c>
      <c r="H18" s="590">
        <v>0</v>
      </c>
      <c r="I18" s="592">
        <f t="shared" si="0"/>
        <v>0</v>
      </c>
    </row>
    <row r="19" spans="1:9">
      <c r="A19" s="381">
        <v>13</v>
      </c>
      <c r="B19" s="377" t="s">
        <v>247</v>
      </c>
      <c r="C19" s="590">
        <v>0</v>
      </c>
      <c r="D19" s="590">
        <v>0</v>
      </c>
      <c r="E19" s="591">
        <v>0</v>
      </c>
      <c r="F19" s="591">
        <v>0</v>
      </c>
      <c r="G19" s="591">
        <v>0</v>
      </c>
      <c r="H19" s="590">
        <v>0</v>
      </c>
      <c r="I19" s="592">
        <f t="shared" si="0"/>
        <v>0</v>
      </c>
    </row>
    <row r="20" spans="1:9">
      <c r="A20" s="381">
        <v>14</v>
      </c>
      <c r="B20" s="377" t="s">
        <v>108</v>
      </c>
      <c r="C20" s="590">
        <v>29377060.550000019</v>
      </c>
      <c r="D20" s="590">
        <v>100423563.41500004</v>
      </c>
      <c r="E20" s="591">
        <v>26427478.715000015</v>
      </c>
      <c r="F20" s="591">
        <v>0</v>
      </c>
      <c r="G20" s="591">
        <v>0</v>
      </c>
      <c r="H20" s="590">
        <v>0</v>
      </c>
      <c r="I20" s="592">
        <f t="shared" si="0"/>
        <v>103373145.25000004</v>
      </c>
    </row>
    <row r="21" spans="1:9" s="414" customFormat="1">
      <c r="A21" s="382">
        <v>15</v>
      </c>
      <c r="B21" s="385" t="s">
        <v>109</v>
      </c>
      <c r="C21" s="589">
        <f>SUM(C7:C15)+SUM(C17:C20)</f>
        <v>94184778.810000002</v>
      </c>
      <c r="D21" s="589">
        <f t="shared" ref="D21:H21" si="1">SUM(D7:D15)+SUM(D17:D20)</f>
        <v>1319847220.4049978</v>
      </c>
      <c r="E21" s="589">
        <f t="shared" si="1"/>
        <v>63409361.535000026</v>
      </c>
      <c r="F21" s="589">
        <f t="shared" si="1"/>
        <v>14911553.010000017</v>
      </c>
      <c r="G21" s="589">
        <v>1621297.71</v>
      </c>
      <c r="H21" s="589">
        <f t="shared" si="1"/>
        <v>889654.62999999989</v>
      </c>
      <c r="I21" s="592">
        <f t="shared" si="0"/>
        <v>1334089786.9599977</v>
      </c>
    </row>
    <row r="22" spans="1:9">
      <c r="A22" s="415">
        <v>16</v>
      </c>
      <c r="B22" s="416" t="s">
        <v>564</v>
      </c>
      <c r="C22" s="590">
        <v>64731036.589999989</v>
      </c>
      <c r="D22" s="590">
        <v>897377297.85999811</v>
      </c>
      <c r="E22" s="591">
        <v>36905201.150000013</v>
      </c>
      <c r="F22" s="591">
        <v>14811553.010000017</v>
      </c>
      <c r="G22" s="591">
        <v>1621297.71</v>
      </c>
      <c r="H22" s="590">
        <v>889654.62999999977</v>
      </c>
      <c r="I22" s="592">
        <f t="shared" si="0"/>
        <v>908770282.57999814</v>
      </c>
    </row>
    <row r="23" spans="1:9">
      <c r="A23" s="415">
        <v>17</v>
      </c>
      <c r="B23" s="416" t="s">
        <v>565</v>
      </c>
      <c r="C23" s="590">
        <v>0</v>
      </c>
      <c r="D23" s="590">
        <v>123730713.31</v>
      </c>
      <c r="E23" s="591">
        <v>0</v>
      </c>
      <c r="F23" s="591">
        <v>100000</v>
      </c>
      <c r="G23" s="591">
        <v>0</v>
      </c>
      <c r="H23" s="590">
        <v>0</v>
      </c>
      <c r="I23" s="592">
        <f t="shared" si="0"/>
        <v>123630713.31</v>
      </c>
    </row>
    <row r="26" spans="1:9" ht="25.5">
      <c r="B26" s="410"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6" workbookViewId="0">
      <selection activeCell="C42" sqref="C42"/>
    </sheetView>
  </sheetViews>
  <sheetFormatPr defaultColWidth="9.140625" defaultRowHeight="12.75"/>
  <cols>
    <col min="1" max="1" width="11" style="383" bestFit="1" customWidth="1"/>
    <col min="2" max="2" width="93.42578125" style="383" customWidth="1"/>
    <col min="3" max="8" width="22" style="383" customWidth="1"/>
    <col min="9" max="9" width="42.28515625" style="383" bestFit="1" customWidth="1"/>
    <col min="10" max="16384" width="9.140625" style="383"/>
  </cols>
  <sheetData>
    <row r="1" spans="1:9">
      <c r="A1" s="375" t="s">
        <v>30</v>
      </c>
    </row>
    <row r="2" spans="1:9" ht="13.5">
      <c r="A2" s="375" t="s">
        <v>31</v>
      </c>
      <c r="B2" s="408">
        <f>'1. key ratios '!B2</f>
        <v>44377</v>
      </c>
    </row>
    <row r="3" spans="1:9">
      <c r="A3" s="376" t="s">
        <v>566</v>
      </c>
    </row>
    <row r="4" spans="1:9">
      <c r="C4" s="412" t="s">
        <v>0</v>
      </c>
      <c r="D4" s="412" t="s">
        <v>1</v>
      </c>
      <c r="E4" s="412" t="s">
        <v>2</v>
      </c>
      <c r="F4" s="412" t="s">
        <v>3</v>
      </c>
      <c r="G4" s="412" t="s">
        <v>4</v>
      </c>
      <c r="H4" s="412" t="s">
        <v>5</v>
      </c>
      <c r="I4" s="412" t="s">
        <v>8</v>
      </c>
    </row>
    <row r="5" spans="1:9" ht="46.5" customHeight="1">
      <c r="A5" s="661" t="s">
        <v>707</v>
      </c>
      <c r="B5" s="662"/>
      <c r="C5" s="675" t="s">
        <v>554</v>
      </c>
      <c r="D5" s="675"/>
      <c r="E5" s="675" t="s">
        <v>555</v>
      </c>
      <c r="F5" s="675" t="s">
        <v>556</v>
      </c>
      <c r="G5" s="673" t="s">
        <v>557</v>
      </c>
      <c r="H5" s="673" t="s">
        <v>558</v>
      </c>
      <c r="I5" s="413" t="s">
        <v>559</v>
      </c>
    </row>
    <row r="6" spans="1:9" ht="75" customHeight="1">
      <c r="A6" s="665"/>
      <c r="B6" s="666"/>
      <c r="C6" s="401" t="s">
        <v>560</v>
      </c>
      <c r="D6" s="401" t="s">
        <v>561</v>
      </c>
      <c r="E6" s="675"/>
      <c r="F6" s="675"/>
      <c r="G6" s="674"/>
      <c r="H6" s="674"/>
      <c r="I6" s="413" t="s">
        <v>562</v>
      </c>
    </row>
    <row r="7" spans="1:9">
      <c r="A7" s="380">
        <v>1</v>
      </c>
      <c r="B7" s="384" t="s">
        <v>697</v>
      </c>
      <c r="C7" s="590">
        <v>3384525.1371999998</v>
      </c>
      <c r="D7" s="590">
        <v>358460136.03380001</v>
      </c>
      <c r="E7" s="590">
        <v>1513794.384000001</v>
      </c>
      <c r="F7" s="590">
        <v>1236541.5763999936</v>
      </c>
      <c r="G7" s="590">
        <v>0</v>
      </c>
      <c r="H7" s="590">
        <v>116368.2025</v>
      </c>
      <c r="I7" s="592">
        <f t="shared" ref="I7:I34" si="0">C7+D7-E7-F7-G7</f>
        <v>359094325.21060002</v>
      </c>
    </row>
    <row r="8" spans="1:9">
      <c r="A8" s="380">
        <v>2</v>
      </c>
      <c r="B8" s="384" t="s">
        <v>567</v>
      </c>
      <c r="C8" s="590">
        <v>1016554.0296</v>
      </c>
      <c r="D8" s="590">
        <v>58312318.115800023</v>
      </c>
      <c r="E8" s="590">
        <v>545839.1128</v>
      </c>
      <c r="F8" s="590">
        <v>676502.95369999995</v>
      </c>
      <c r="G8" s="590">
        <v>0</v>
      </c>
      <c r="H8" s="590">
        <v>6233.11</v>
      </c>
      <c r="I8" s="592">
        <f t="shared" si="0"/>
        <v>58106530.078900024</v>
      </c>
    </row>
    <row r="9" spans="1:9">
      <c r="A9" s="380">
        <v>3</v>
      </c>
      <c r="B9" s="384" t="s">
        <v>568</v>
      </c>
      <c r="C9" s="590">
        <v>0</v>
      </c>
      <c r="D9" s="590">
        <v>23592101.9791</v>
      </c>
      <c r="E9" s="590">
        <v>7878.4382999999998</v>
      </c>
      <c r="F9" s="590">
        <v>469851.03089999995</v>
      </c>
      <c r="G9" s="590">
        <v>0</v>
      </c>
      <c r="H9" s="590">
        <v>0</v>
      </c>
      <c r="I9" s="592">
        <f t="shared" si="0"/>
        <v>23114372.5099</v>
      </c>
    </row>
    <row r="10" spans="1:9">
      <c r="A10" s="380">
        <v>4</v>
      </c>
      <c r="B10" s="384" t="s">
        <v>698</v>
      </c>
      <c r="C10" s="590">
        <v>182298.7072</v>
      </c>
      <c r="D10" s="590">
        <v>74390739.943599984</v>
      </c>
      <c r="E10" s="590">
        <v>1148651.6008000001</v>
      </c>
      <c r="F10" s="590">
        <v>1253102.2564000001</v>
      </c>
      <c r="G10" s="590">
        <v>0</v>
      </c>
      <c r="H10" s="590">
        <v>0</v>
      </c>
      <c r="I10" s="592">
        <f t="shared" si="0"/>
        <v>72171284.793599978</v>
      </c>
    </row>
    <row r="11" spans="1:9">
      <c r="A11" s="380">
        <v>5</v>
      </c>
      <c r="B11" s="384" t="s">
        <v>569</v>
      </c>
      <c r="C11" s="590">
        <v>9080890.0744000003</v>
      </c>
      <c r="D11" s="590">
        <v>80868221.688199997</v>
      </c>
      <c r="E11" s="590">
        <v>5613142.5877999999</v>
      </c>
      <c r="F11" s="590">
        <v>1115511.3715000004</v>
      </c>
      <c r="G11" s="590">
        <v>0</v>
      </c>
      <c r="H11" s="590">
        <v>0</v>
      </c>
      <c r="I11" s="592">
        <f t="shared" si="0"/>
        <v>83220457.803300008</v>
      </c>
    </row>
    <row r="12" spans="1:9">
      <c r="A12" s="380">
        <v>6</v>
      </c>
      <c r="B12" s="384" t="s">
        <v>570</v>
      </c>
      <c r="C12" s="590">
        <v>881839.25860000006</v>
      </c>
      <c r="D12" s="590">
        <v>35308822.510200001</v>
      </c>
      <c r="E12" s="590">
        <v>693071.56729999988</v>
      </c>
      <c r="F12" s="590">
        <v>635730.15220000013</v>
      </c>
      <c r="G12" s="590">
        <v>0</v>
      </c>
      <c r="H12" s="590">
        <v>0</v>
      </c>
      <c r="I12" s="592">
        <f t="shared" si="0"/>
        <v>34861860.0493</v>
      </c>
    </row>
    <row r="13" spans="1:9">
      <c r="A13" s="380">
        <v>7</v>
      </c>
      <c r="B13" s="384" t="s">
        <v>571</v>
      </c>
      <c r="C13" s="590">
        <v>0</v>
      </c>
      <c r="D13" s="590">
        <v>38698821.832199983</v>
      </c>
      <c r="E13" s="590">
        <v>154007.16209999999</v>
      </c>
      <c r="F13" s="590">
        <v>739795.6525999998</v>
      </c>
      <c r="G13" s="590">
        <v>0</v>
      </c>
      <c r="H13" s="590">
        <v>0</v>
      </c>
      <c r="I13" s="592">
        <f t="shared" si="0"/>
        <v>37805019.017499983</v>
      </c>
    </row>
    <row r="14" spans="1:9">
      <c r="A14" s="380">
        <v>8</v>
      </c>
      <c r="B14" s="384" t="s">
        <v>572</v>
      </c>
      <c r="C14" s="590">
        <v>2084098.8994000002</v>
      </c>
      <c r="D14" s="590">
        <v>54611498.554299995</v>
      </c>
      <c r="E14" s="590">
        <v>938827.61250000016</v>
      </c>
      <c r="F14" s="590">
        <v>1039729.3096000005</v>
      </c>
      <c r="G14" s="590">
        <v>0</v>
      </c>
      <c r="H14" s="590">
        <v>0</v>
      </c>
      <c r="I14" s="592">
        <f t="shared" si="0"/>
        <v>54717040.531599998</v>
      </c>
    </row>
    <row r="15" spans="1:9">
      <c r="A15" s="380">
        <v>9</v>
      </c>
      <c r="B15" s="384" t="s">
        <v>573</v>
      </c>
      <c r="C15" s="590">
        <v>40000</v>
      </c>
      <c r="D15" s="590">
        <v>28888876.4366</v>
      </c>
      <c r="E15" s="590">
        <v>216035.68540000002</v>
      </c>
      <c r="F15" s="590">
        <v>539995.99599999993</v>
      </c>
      <c r="G15" s="590">
        <v>0</v>
      </c>
      <c r="H15" s="590">
        <v>0</v>
      </c>
      <c r="I15" s="592">
        <f t="shared" si="0"/>
        <v>28172844.755199999</v>
      </c>
    </row>
    <row r="16" spans="1:9">
      <c r="A16" s="380">
        <v>10</v>
      </c>
      <c r="B16" s="384" t="s">
        <v>574</v>
      </c>
      <c r="C16" s="590">
        <v>79511.95</v>
      </c>
      <c r="D16" s="590">
        <v>11094399.628999997</v>
      </c>
      <c r="E16" s="590">
        <v>234905.91149999999</v>
      </c>
      <c r="F16" s="590">
        <v>178500.27850000001</v>
      </c>
      <c r="G16" s="590">
        <v>0</v>
      </c>
      <c r="H16" s="590">
        <v>0</v>
      </c>
      <c r="I16" s="592">
        <f t="shared" si="0"/>
        <v>10760505.388999997</v>
      </c>
    </row>
    <row r="17" spans="1:9">
      <c r="A17" s="380">
        <v>11</v>
      </c>
      <c r="B17" s="384" t="s">
        <v>575</v>
      </c>
      <c r="C17" s="590">
        <v>1357260.6993</v>
      </c>
      <c r="D17" s="590">
        <v>5841358.8282000003</v>
      </c>
      <c r="E17" s="590">
        <v>662002.44309999992</v>
      </c>
      <c r="F17" s="590">
        <v>96730.549199999979</v>
      </c>
      <c r="G17" s="590">
        <v>0</v>
      </c>
      <c r="H17" s="590">
        <v>0</v>
      </c>
      <c r="I17" s="592">
        <f t="shared" si="0"/>
        <v>6439886.5351999998</v>
      </c>
    </row>
    <row r="18" spans="1:9">
      <c r="A18" s="380">
        <v>12</v>
      </c>
      <c r="B18" s="384" t="s">
        <v>576</v>
      </c>
      <c r="C18" s="590">
        <v>7712292.8987000007</v>
      </c>
      <c r="D18" s="590">
        <v>60952810.450899988</v>
      </c>
      <c r="E18" s="590">
        <v>4262198.8202999998</v>
      </c>
      <c r="F18" s="590">
        <v>974140.44399999944</v>
      </c>
      <c r="G18" s="590">
        <v>0</v>
      </c>
      <c r="H18" s="590">
        <v>384061.26639999996</v>
      </c>
      <c r="I18" s="592">
        <f t="shared" si="0"/>
        <v>63428764.085299991</v>
      </c>
    </row>
    <row r="19" spans="1:9">
      <c r="A19" s="380">
        <v>13</v>
      </c>
      <c r="B19" s="384" t="s">
        <v>577</v>
      </c>
      <c r="C19" s="590">
        <v>819445.92320000008</v>
      </c>
      <c r="D19" s="590">
        <v>18544641.160799999</v>
      </c>
      <c r="E19" s="590">
        <v>541648.93120000011</v>
      </c>
      <c r="F19" s="590">
        <v>334141.41279999999</v>
      </c>
      <c r="G19" s="590">
        <v>0</v>
      </c>
      <c r="H19" s="590">
        <v>0</v>
      </c>
      <c r="I19" s="592">
        <f t="shared" si="0"/>
        <v>18488296.739999998</v>
      </c>
    </row>
    <row r="20" spans="1:9">
      <c r="A20" s="380">
        <v>14</v>
      </c>
      <c r="B20" s="384" t="s">
        <v>578</v>
      </c>
      <c r="C20" s="590">
        <v>6546546.064199999</v>
      </c>
      <c r="D20" s="590">
        <v>82895155.644600004</v>
      </c>
      <c r="E20" s="590">
        <v>5020852.4727000026</v>
      </c>
      <c r="F20" s="590">
        <v>1060264.3444000001</v>
      </c>
      <c r="G20" s="590">
        <v>0</v>
      </c>
      <c r="H20" s="590">
        <v>0</v>
      </c>
      <c r="I20" s="592">
        <f t="shared" si="0"/>
        <v>83360584.8917</v>
      </c>
    </row>
    <row r="21" spans="1:9">
      <c r="A21" s="380">
        <v>15</v>
      </c>
      <c r="B21" s="384" t="s">
        <v>579</v>
      </c>
      <c r="C21" s="590">
        <v>4501446.0449999999</v>
      </c>
      <c r="D21" s="590">
        <v>34138275.417599984</v>
      </c>
      <c r="E21" s="590">
        <v>3162728.1818000004</v>
      </c>
      <c r="F21" s="590">
        <v>317495.49029999989</v>
      </c>
      <c r="G21" s="590">
        <v>0</v>
      </c>
      <c r="H21" s="590">
        <v>0</v>
      </c>
      <c r="I21" s="592">
        <f t="shared" si="0"/>
        <v>35159497.790499985</v>
      </c>
    </row>
    <row r="22" spans="1:9">
      <c r="A22" s="380">
        <v>16</v>
      </c>
      <c r="B22" s="384" t="s">
        <v>580</v>
      </c>
      <c r="C22" s="590">
        <v>0</v>
      </c>
      <c r="D22" s="590">
        <v>1051580.716</v>
      </c>
      <c r="E22" s="590">
        <v>0</v>
      </c>
      <c r="F22" s="590">
        <v>20877.659799999994</v>
      </c>
      <c r="G22" s="590">
        <v>0</v>
      </c>
      <c r="H22" s="590">
        <v>0</v>
      </c>
      <c r="I22" s="592">
        <f t="shared" si="0"/>
        <v>1030703.0562</v>
      </c>
    </row>
    <row r="23" spans="1:9">
      <c r="A23" s="380">
        <v>17</v>
      </c>
      <c r="B23" s="384" t="s">
        <v>701</v>
      </c>
      <c r="C23" s="590">
        <v>1948225.3691</v>
      </c>
      <c r="D23" s="590">
        <v>3307880.4446000005</v>
      </c>
      <c r="E23" s="590">
        <v>802884.92430000019</v>
      </c>
      <c r="F23" s="590">
        <v>38231.431500000006</v>
      </c>
      <c r="G23" s="590">
        <v>0</v>
      </c>
      <c r="H23" s="590">
        <v>0</v>
      </c>
      <c r="I23" s="592">
        <f t="shared" si="0"/>
        <v>4414989.4579000007</v>
      </c>
    </row>
    <row r="24" spans="1:9">
      <c r="A24" s="380">
        <v>18</v>
      </c>
      <c r="B24" s="384" t="s">
        <v>581</v>
      </c>
      <c r="C24" s="590">
        <v>45844.75</v>
      </c>
      <c r="D24" s="590">
        <v>22506312.4384</v>
      </c>
      <c r="E24" s="590">
        <v>13903.7</v>
      </c>
      <c r="F24" s="590">
        <v>411030.16969999997</v>
      </c>
      <c r="G24" s="590">
        <v>0</v>
      </c>
      <c r="H24" s="590">
        <v>0</v>
      </c>
      <c r="I24" s="592">
        <f t="shared" si="0"/>
        <v>22127223.318700001</v>
      </c>
    </row>
    <row r="25" spans="1:9">
      <c r="A25" s="380">
        <v>19</v>
      </c>
      <c r="B25" s="384" t="s">
        <v>582</v>
      </c>
      <c r="C25" s="590">
        <v>36634.595699999998</v>
      </c>
      <c r="D25" s="590">
        <v>6786641.8225000007</v>
      </c>
      <c r="E25" s="590">
        <v>16912.637900000002</v>
      </c>
      <c r="F25" s="590">
        <v>135302.1654</v>
      </c>
      <c r="G25" s="590">
        <v>0</v>
      </c>
      <c r="H25" s="590">
        <v>0</v>
      </c>
      <c r="I25" s="592">
        <f t="shared" si="0"/>
        <v>6671061.6149000004</v>
      </c>
    </row>
    <row r="26" spans="1:9">
      <c r="A26" s="380">
        <v>20</v>
      </c>
      <c r="B26" s="384" t="s">
        <v>700</v>
      </c>
      <c r="C26" s="590">
        <v>712196.2709</v>
      </c>
      <c r="D26" s="590">
        <v>26189174.286800005</v>
      </c>
      <c r="E26" s="590">
        <v>632499.71199999971</v>
      </c>
      <c r="F26" s="590">
        <v>460072.60109999968</v>
      </c>
      <c r="G26" s="590">
        <v>0</v>
      </c>
      <c r="H26" s="590">
        <v>2501.8200000000002</v>
      </c>
      <c r="I26" s="592">
        <f t="shared" si="0"/>
        <v>25808798.244600002</v>
      </c>
    </row>
    <row r="27" spans="1:9">
      <c r="A27" s="380">
        <v>21</v>
      </c>
      <c r="B27" s="384" t="s">
        <v>583</v>
      </c>
      <c r="C27" s="590">
        <v>78748.800000000003</v>
      </c>
      <c r="D27" s="590">
        <v>3145199.5966999996</v>
      </c>
      <c r="E27" s="590">
        <v>64818.44</v>
      </c>
      <c r="F27" s="590">
        <v>60750.555200000003</v>
      </c>
      <c r="G27" s="590">
        <v>0</v>
      </c>
      <c r="H27" s="590">
        <v>0</v>
      </c>
      <c r="I27" s="592">
        <f t="shared" si="0"/>
        <v>3098379.4014999997</v>
      </c>
    </row>
    <row r="28" spans="1:9">
      <c r="A28" s="380">
        <v>22</v>
      </c>
      <c r="B28" s="384" t="s">
        <v>584</v>
      </c>
      <c r="C28" s="590">
        <v>50031.197</v>
      </c>
      <c r="D28" s="590">
        <v>1852466.7043000001</v>
      </c>
      <c r="E28" s="590">
        <v>120274.94700000001</v>
      </c>
      <c r="F28" s="590">
        <v>20804.381899999993</v>
      </c>
      <c r="G28" s="590">
        <v>0</v>
      </c>
      <c r="H28" s="590">
        <v>77664.800000000003</v>
      </c>
      <c r="I28" s="592">
        <f t="shared" si="0"/>
        <v>1761418.5724000002</v>
      </c>
    </row>
    <row r="29" spans="1:9">
      <c r="A29" s="380">
        <v>23</v>
      </c>
      <c r="B29" s="384" t="s">
        <v>585</v>
      </c>
      <c r="C29" s="590">
        <v>9736898.0891000014</v>
      </c>
      <c r="D29" s="590">
        <v>57185977.470299989</v>
      </c>
      <c r="E29" s="590">
        <v>4495403.5065000011</v>
      </c>
      <c r="F29" s="590">
        <v>970757.29689999938</v>
      </c>
      <c r="G29" s="590">
        <v>0</v>
      </c>
      <c r="H29" s="590">
        <v>0</v>
      </c>
      <c r="I29" s="592">
        <f t="shared" si="0"/>
        <v>61456714.755999997</v>
      </c>
    </row>
    <row r="30" spans="1:9">
      <c r="A30" s="380">
        <v>24</v>
      </c>
      <c r="B30" s="384" t="s">
        <v>699</v>
      </c>
      <c r="C30" s="590">
        <v>6460874.4919999996</v>
      </c>
      <c r="D30" s="590">
        <v>67078183.962299943</v>
      </c>
      <c r="E30" s="590">
        <v>2785158.3108999985</v>
      </c>
      <c r="F30" s="590">
        <v>1207526.1642000007</v>
      </c>
      <c r="G30" s="590">
        <v>0</v>
      </c>
      <c r="H30" s="590">
        <v>199130.91930000001</v>
      </c>
      <c r="I30" s="592">
        <f t="shared" si="0"/>
        <v>69546373.979199931</v>
      </c>
    </row>
    <row r="31" spans="1:9">
      <c r="A31" s="380">
        <v>25</v>
      </c>
      <c r="B31" s="384" t="s">
        <v>586</v>
      </c>
      <c r="C31" s="590">
        <v>4916237.8338999972</v>
      </c>
      <c r="D31" s="590">
        <v>49150928.699399956</v>
      </c>
      <c r="E31" s="590">
        <v>1832228.2837999999</v>
      </c>
      <c r="F31" s="590">
        <v>677669.13769999985</v>
      </c>
      <c r="G31" s="590">
        <v>0</v>
      </c>
      <c r="H31" s="590">
        <v>83643.76549999963</v>
      </c>
      <c r="I31" s="592">
        <f t="shared" si="0"/>
        <v>51557269.111799955</v>
      </c>
    </row>
    <row r="32" spans="1:9">
      <c r="A32" s="380">
        <v>26</v>
      </c>
      <c r="B32" s="384" t="s">
        <v>696</v>
      </c>
      <c r="C32" s="590">
        <v>3135223.4800975812</v>
      </c>
      <c r="D32" s="590">
        <v>14571226.209200006</v>
      </c>
      <c r="E32" s="590">
        <v>1502212.8433000001</v>
      </c>
      <c r="F32" s="590">
        <v>240498.8216</v>
      </c>
      <c r="G32" s="590">
        <v>0</v>
      </c>
      <c r="H32" s="590">
        <v>20050.746300000003</v>
      </c>
      <c r="I32" s="592">
        <f t="shared" si="0"/>
        <v>15963738.024397587</v>
      </c>
    </row>
    <row r="33" spans="1:9">
      <c r="A33" s="380">
        <v>27</v>
      </c>
      <c r="B33" s="380" t="s">
        <v>587</v>
      </c>
      <c r="C33" s="590">
        <v>29377154.35000002</v>
      </c>
      <c r="D33" s="590">
        <v>100423469.61500002</v>
      </c>
      <c r="E33" s="590">
        <v>26427478.715000015</v>
      </c>
      <c r="F33" s="590">
        <v>0</v>
      </c>
      <c r="G33" s="590">
        <v>0</v>
      </c>
      <c r="H33" s="590">
        <v>0</v>
      </c>
      <c r="I33" s="592">
        <f t="shared" si="0"/>
        <v>103373145.25000003</v>
      </c>
    </row>
    <row r="34" spans="1:9">
      <c r="A34" s="380">
        <v>28</v>
      </c>
      <c r="B34" s="385" t="s">
        <v>109</v>
      </c>
      <c r="C34" s="589">
        <f>SUM(C7:C33)</f>
        <v>94184778.914597601</v>
      </c>
      <c r="D34" s="589">
        <f t="shared" ref="D34:H34" si="1">SUM(D7:D33)</f>
        <v>1319847220.1903994</v>
      </c>
      <c r="E34" s="589">
        <f t="shared" si="1"/>
        <v>63409360.932300016</v>
      </c>
      <c r="F34" s="589">
        <f t="shared" si="1"/>
        <v>14911553.203499993</v>
      </c>
      <c r="G34" s="589">
        <v>1621297.71</v>
      </c>
      <c r="H34" s="589">
        <f t="shared" si="1"/>
        <v>889654.62999999954</v>
      </c>
      <c r="I34" s="592">
        <f t="shared" si="0"/>
        <v>1334089787.2591968</v>
      </c>
    </row>
    <row r="36" spans="1:9">
      <c r="B36" s="417"/>
    </row>
    <row r="42" spans="1:9">
      <c r="A42" s="414"/>
      <c r="B42" s="414"/>
    </row>
    <row r="43" spans="1:9">
      <c r="A43" s="414"/>
      <c r="B43" s="41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C12" sqref="C12"/>
    </sheetView>
  </sheetViews>
  <sheetFormatPr defaultColWidth="9.140625" defaultRowHeight="12.75"/>
  <cols>
    <col min="1" max="1" width="11.85546875" style="383" bestFit="1" customWidth="1"/>
    <col min="2" max="2" width="108" style="383" bestFit="1" customWidth="1"/>
    <col min="3" max="4" width="35.5703125" style="383" customWidth="1"/>
    <col min="5" max="16384" width="9.140625" style="383"/>
  </cols>
  <sheetData>
    <row r="1" spans="1:4">
      <c r="A1" s="375" t="s">
        <v>30</v>
      </c>
    </row>
    <row r="2" spans="1:4" ht="13.5">
      <c r="A2" s="375" t="s">
        <v>31</v>
      </c>
      <c r="B2" s="408">
        <f>'1. key ratios '!B2</f>
        <v>44377</v>
      </c>
    </row>
    <row r="3" spans="1:4">
      <c r="A3" s="376" t="s">
        <v>588</v>
      </c>
    </row>
    <row r="5" spans="1:4" ht="25.5">
      <c r="A5" s="676" t="s">
        <v>589</v>
      </c>
      <c r="B5" s="676"/>
      <c r="C5" s="405" t="s">
        <v>590</v>
      </c>
      <c r="D5" s="405" t="s">
        <v>591</v>
      </c>
    </row>
    <row r="6" spans="1:4">
      <c r="A6" s="386">
        <v>1</v>
      </c>
      <c r="B6" s="387" t="s">
        <v>592</v>
      </c>
      <c r="C6" s="590">
        <v>55169305.230000094</v>
      </c>
      <c r="D6" s="590">
        <v>100000</v>
      </c>
    </row>
    <row r="7" spans="1:4">
      <c r="A7" s="388">
        <v>2</v>
      </c>
      <c r="B7" s="387" t="s">
        <v>593</v>
      </c>
      <c r="C7" s="589">
        <f>SUM(C8:C11)</f>
        <v>7454023.0328685697</v>
      </c>
      <c r="D7" s="589">
        <f>SUM(D8:D11)</f>
        <v>0</v>
      </c>
    </row>
    <row r="8" spans="1:4">
      <c r="A8" s="388">
        <v>2.1</v>
      </c>
      <c r="B8" s="389" t="s">
        <v>704</v>
      </c>
      <c r="C8" s="590">
        <v>4032004.965721</v>
      </c>
      <c r="D8" s="590"/>
    </row>
    <row r="9" spans="1:4">
      <c r="A9" s="388">
        <v>2.2000000000000002</v>
      </c>
      <c r="B9" s="389" t="s">
        <v>702</v>
      </c>
      <c r="C9" s="590">
        <v>3422018.0671475693</v>
      </c>
      <c r="D9" s="590"/>
    </row>
    <row r="10" spans="1:4">
      <c r="A10" s="388">
        <v>2.2999999999999998</v>
      </c>
      <c r="B10" s="389" t="s">
        <v>594</v>
      </c>
      <c r="C10" s="590">
        <v>0</v>
      </c>
      <c r="D10" s="590"/>
    </row>
    <row r="11" spans="1:4">
      <c r="A11" s="388">
        <v>2.4</v>
      </c>
      <c r="B11" s="389" t="s">
        <v>595</v>
      </c>
      <c r="C11" s="590">
        <v>0</v>
      </c>
      <c r="D11" s="590"/>
    </row>
    <row r="12" spans="1:4">
      <c r="A12" s="386">
        <v>3</v>
      </c>
      <c r="B12" s="387" t="s">
        <v>596</v>
      </c>
      <c r="C12" s="589">
        <f>SUM(C13:C18)</f>
        <v>9285276.392868001</v>
      </c>
      <c r="D12" s="589">
        <f>SUM(D13:D18)</f>
        <v>0</v>
      </c>
    </row>
    <row r="13" spans="1:4">
      <c r="A13" s="388">
        <v>3.1</v>
      </c>
      <c r="B13" s="389" t="s">
        <v>597</v>
      </c>
      <c r="C13" s="590">
        <v>889654.63000000012</v>
      </c>
      <c r="D13" s="590"/>
    </row>
    <row r="14" spans="1:4">
      <c r="A14" s="388">
        <v>3.2</v>
      </c>
      <c r="B14" s="389" t="s">
        <v>598</v>
      </c>
      <c r="C14" s="590">
        <v>1888930.4897480009</v>
      </c>
      <c r="D14" s="590"/>
    </row>
    <row r="15" spans="1:4">
      <c r="A15" s="388">
        <v>3.3</v>
      </c>
      <c r="B15" s="389" t="s">
        <v>693</v>
      </c>
      <c r="C15" s="590">
        <v>3730049.49186</v>
      </c>
      <c r="D15" s="590"/>
    </row>
    <row r="16" spans="1:4">
      <c r="A16" s="388">
        <v>3.4</v>
      </c>
      <c r="B16" s="389" t="s">
        <v>703</v>
      </c>
      <c r="C16" s="590">
        <v>305779.33071100002</v>
      </c>
      <c r="D16" s="590"/>
    </row>
    <row r="17" spans="1:4">
      <c r="A17" s="388">
        <v>3.5</v>
      </c>
      <c r="B17" s="389" t="s">
        <v>599</v>
      </c>
      <c r="C17" s="590">
        <v>2470862.4505490009</v>
      </c>
      <c r="D17" s="590"/>
    </row>
    <row r="18" spans="1:4">
      <c r="A18" s="388">
        <v>3.6</v>
      </c>
      <c r="B18" s="389" t="s">
        <v>600</v>
      </c>
      <c r="C18" s="590">
        <v>0</v>
      </c>
      <c r="D18" s="590"/>
    </row>
    <row r="19" spans="1:4">
      <c r="A19" s="390">
        <v>4</v>
      </c>
      <c r="B19" s="387" t="s">
        <v>601</v>
      </c>
      <c r="C19" s="589">
        <f>C6+C7-C12</f>
        <v>53338051.87000066</v>
      </c>
      <c r="D19" s="589">
        <f>D6+D7-D12</f>
        <v>100000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7" sqref="C7:D19"/>
    </sheetView>
  </sheetViews>
  <sheetFormatPr defaultColWidth="9.140625" defaultRowHeight="12.75"/>
  <cols>
    <col min="1" max="1" width="11.85546875" style="383" bestFit="1" customWidth="1"/>
    <col min="2" max="2" width="124.7109375" style="383" customWidth="1"/>
    <col min="3" max="3" width="31.5703125" style="383" customWidth="1"/>
    <col min="4" max="4" width="39.140625" style="383" customWidth="1"/>
    <col min="5" max="16384" width="9.140625" style="383"/>
  </cols>
  <sheetData>
    <row r="1" spans="1:4">
      <c r="A1" s="375" t="s">
        <v>30</v>
      </c>
    </row>
    <row r="2" spans="1:4" ht="13.5">
      <c r="A2" s="375" t="s">
        <v>31</v>
      </c>
      <c r="B2" s="408">
        <f>'1. key ratios '!B2</f>
        <v>44377</v>
      </c>
    </row>
    <row r="3" spans="1:4">
      <c r="A3" s="376" t="s">
        <v>602</v>
      </c>
    </row>
    <row r="4" spans="1:4">
      <c r="A4" s="376"/>
    </row>
    <row r="5" spans="1:4" ht="15" customHeight="1">
      <c r="A5" s="677" t="s">
        <v>705</v>
      </c>
      <c r="B5" s="678"/>
      <c r="C5" s="667" t="s">
        <v>603</v>
      </c>
      <c r="D5" s="681" t="s">
        <v>604</v>
      </c>
    </row>
    <row r="6" spans="1:4">
      <c r="A6" s="679"/>
      <c r="B6" s="680"/>
      <c r="C6" s="670"/>
      <c r="D6" s="681"/>
    </row>
    <row r="7" spans="1:4">
      <c r="A7" s="385">
        <v>1</v>
      </c>
      <c r="B7" s="385" t="s">
        <v>592</v>
      </c>
      <c r="C7" s="589">
        <v>67565885.8072</v>
      </c>
      <c r="D7" s="428"/>
    </row>
    <row r="8" spans="1:4">
      <c r="A8" s="380">
        <v>2</v>
      </c>
      <c r="B8" s="380" t="s">
        <v>605</v>
      </c>
      <c r="C8" s="590">
        <v>9873984.8956993874</v>
      </c>
      <c r="D8" s="428"/>
    </row>
    <row r="9" spans="1:4">
      <c r="A9" s="380">
        <v>3</v>
      </c>
      <c r="B9" s="391" t="s">
        <v>606</v>
      </c>
      <c r="C9" s="590">
        <v>0</v>
      </c>
      <c r="D9" s="428"/>
    </row>
    <row r="10" spans="1:4">
      <c r="A10" s="380">
        <v>4</v>
      </c>
      <c r="B10" s="380" t="s">
        <v>607</v>
      </c>
      <c r="C10" s="590">
        <f>SUM(C11:C18)</f>
        <v>12708992.812901445</v>
      </c>
      <c r="D10" s="428"/>
    </row>
    <row r="11" spans="1:4">
      <c r="A11" s="380">
        <v>5</v>
      </c>
      <c r="B11" s="392" t="s">
        <v>608</v>
      </c>
      <c r="C11" s="590">
        <v>0</v>
      </c>
      <c r="D11" s="428"/>
    </row>
    <row r="12" spans="1:4">
      <c r="A12" s="380">
        <v>6</v>
      </c>
      <c r="B12" s="392" t="s">
        <v>609</v>
      </c>
      <c r="C12" s="590">
        <v>1263079.2777999998</v>
      </c>
      <c r="D12" s="428"/>
    </row>
    <row r="13" spans="1:4">
      <c r="A13" s="380">
        <v>7</v>
      </c>
      <c r="B13" s="392" t="s">
        <v>610</v>
      </c>
      <c r="C13" s="590">
        <v>7030537.4285005601</v>
      </c>
      <c r="D13" s="428"/>
    </row>
    <row r="14" spans="1:4">
      <c r="A14" s="380">
        <v>8</v>
      </c>
      <c r="B14" s="392" t="s">
        <v>611</v>
      </c>
      <c r="C14" s="590">
        <v>682745</v>
      </c>
      <c r="D14" s="591">
        <v>0</v>
      </c>
    </row>
    <row r="15" spans="1:4">
      <c r="A15" s="380">
        <v>9</v>
      </c>
      <c r="B15" s="392" t="s">
        <v>612</v>
      </c>
      <c r="C15" s="590">
        <v>0</v>
      </c>
      <c r="D15" s="591">
        <v>0</v>
      </c>
    </row>
    <row r="16" spans="1:4">
      <c r="A16" s="380">
        <v>10</v>
      </c>
      <c r="B16" s="392" t="s">
        <v>613</v>
      </c>
      <c r="C16" s="590">
        <v>860902.09149999998</v>
      </c>
      <c r="D16" s="428"/>
    </row>
    <row r="17" spans="1:4">
      <c r="A17" s="380">
        <v>11</v>
      </c>
      <c r="B17" s="392" t="s">
        <v>614</v>
      </c>
      <c r="C17" s="590">
        <v>0</v>
      </c>
      <c r="D17" s="591">
        <v>0</v>
      </c>
    </row>
    <row r="18" spans="1:4">
      <c r="A18" s="380">
        <v>12</v>
      </c>
      <c r="B18" s="389" t="s">
        <v>710</v>
      </c>
      <c r="C18" s="590">
        <v>2871729.0151008861</v>
      </c>
      <c r="D18" s="428"/>
    </row>
    <row r="19" spans="1:4">
      <c r="A19" s="385">
        <v>13</v>
      </c>
      <c r="B19" s="418" t="s">
        <v>601</v>
      </c>
      <c r="C19" s="589">
        <f>C7+C8+C9-C10</f>
        <v>64730877.889997937</v>
      </c>
      <c r="D19" s="429"/>
    </row>
    <row r="22" spans="1:4">
      <c r="B22" s="375"/>
    </row>
    <row r="23" spans="1:4">
      <c r="B23" s="375"/>
    </row>
    <row r="24" spans="1:4">
      <c r="B24" s="3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workbookViewId="0">
      <selection activeCell="C10" sqref="C10"/>
    </sheetView>
  </sheetViews>
  <sheetFormatPr defaultColWidth="9.140625" defaultRowHeight="12.75"/>
  <cols>
    <col min="1" max="1" width="11.85546875" style="383" bestFit="1" customWidth="1"/>
    <col min="2" max="2" width="80.7109375" style="383" customWidth="1"/>
    <col min="3" max="3" width="15.5703125" style="383" customWidth="1"/>
    <col min="4" max="5" width="22.28515625" style="383" customWidth="1"/>
    <col min="6" max="6" width="23.42578125" style="383" customWidth="1"/>
    <col min="7" max="14" width="22.28515625" style="383" customWidth="1"/>
    <col min="15" max="15" width="23.28515625" style="383" bestFit="1" customWidth="1"/>
    <col min="16" max="16" width="21.7109375" style="383" bestFit="1" customWidth="1"/>
    <col min="17" max="19" width="19" style="383" bestFit="1" customWidth="1"/>
    <col min="20" max="20" width="16.140625" style="383" customWidth="1"/>
    <col min="21" max="21" width="21" style="383" customWidth="1"/>
    <col min="22" max="22" width="20" style="383" customWidth="1"/>
    <col min="23" max="16384" width="9.140625" style="383"/>
  </cols>
  <sheetData>
    <row r="1" spans="1:22">
      <c r="A1" s="375" t="s">
        <v>30</v>
      </c>
    </row>
    <row r="2" spans="1:22" ht="13.5">
      <c r="A2" s="375" t="s">
        <v>31</v>
      </c>
      <c r="B2" s="408">
        <f>'1. key ratios '!B2</f>
        <v>44377</v>
      </c>
      <c r="C2" s="411"/>
    </row>
    <row r="3" spans="1:22">
      <c r="A3" s="376" t="s">
        <v>615</v>
      </c>
    </row>
    <row r="5" spans="1:22" ht="15" customHeight="1">
      <c r="A5" s="667" t="s">
        <v>540</v>
      </c>
      <c r="B5" s="669"/>
      <c r="C5" s="684" t="s">
        <v>616</v>
      </c>
      <c r="D5" s="685"/>
      <c r="E5" s="685"/>
      <c r="F5" s="685"/>
      <c r="G5" s="685"/>
      <c r="H5" s="685"/>
      <c r="I5" s="685"/>
      <c r="J5" s="685"/>
      <c r="K5" s="685"/>
      <c r="L5" s="685"/>
      <c r="M5" s="685"/>
      <c r="N5" s="685"/>
      <c r="O5" s="685"/>
      <c r="P5" s="685"/>
      <c r="Q5" s="685"/>
      <c r="R5" s="685"/>
      <c r="S5" s="685"/>
      <c r="T5" s="685"/>
      <c r="U5" s="686"/>
      <c r="V5" s="419"/>
    </row>
    <row r="6" spans="1:22">
      <c r="A6" s="682"/>
      <c r="B6" s="683"/>
      <c r="C6" s="687" t="s">
        <v>109</v>
      </c>
      <c r="D6" s="689" t="s">
        <v>617</v>
      </c>
      <c r="E6" s="689"/>
      <c r="F6" s="674"/>
      <c r="G6" s="690" t="s">
        <v>618</v>
      </c>
      <c r="H6" s="691"/>
      <c r="I6" s="691"/>
      <c r="J6" s="691"/>
      <c r="K6" s="692"/>
      <c r="L6" s="407"/>
      <c r="M6" s="693" t="s">
        <v>619</v>
      </c>
      <c r="N6" s="693"/>
      <c r="O6" s="674"/>
      <c r="P6" s="674"/>
      <c r="Q6" s="674"/>
      <c r="R6" s="674"/>
      <c r="S6" s="674"/>
      <c r="T6" s="674"/>
      <c r="U6" s="674"/>
      <c r="V6" s="407"/>
    </row>
    <row r="7" spans="1:22" ht="25.5">
      <c r="A7" s="670"/>
      <c r="B7" s="672"/>
      <c r="C7" s="688"/>
      <c r="D7" s="420"/>
      <c r="E7" s="413" t="s">
        <v>620</v>
      </c>
      <c r="F7" s="413" t="s">
        <v>621</v>
      </c>
      <c r="G7" s="411"/>
      <c r="H7" s="413" t="s">
        <v>620</v>
      </c>
      <c r="I7" s="413" t="s">
        <v>622</v>
      </c>
      <c r="J7" s="413" t="s">
        <v>623</v>
      </c>
      <c r="K7" s="413" t="s">
        <v>624</v>
      </c>
      <c r="L7" s="406"/>
      <c r="M7" s="401" t="s">
        <v>625</v>
      </c>
      <c r="N7" s="413" t="s">
        <v>623</v>
      </c>
      <c r="O7" s="413" t="s">
        <v>626</v>
      </c>
      <c r="P7" s="413" t="s">
        <v>627</v>
      </c>
      <c r="Q7" s="413" t="s">
        <v>628</v>
      </c>
      <c r="R7" s="413" t="s">
        <v>629</v>
      </c>
      <c r="S7" s="413" t="s">
        <v>630</v>
      </c>
      <c r="T7" s="421" t="s">
        <v>631</v>
      </c>
      <c r="U7" s="413" t="s">
        <v>632</v>
      </c>
      <c r="V7" s="419"/>
    </row>
    <row r="8" spans="1:22">
      <c r="A8" s="422">
        <v>1</v>
      </c>
      <c r="B8" s="385" t="s">
        <v>633</v>
      </c>
      <c r="C8" s="589">
        <v>949967386.11999953</v>
      </c>
      <c r="D8" s="590">
        <v>754097716.2008996</v>
      </c>
      <c r="E8" s="590">
        <v>13295291.550699998</v>
      </c>
      <c r="F8" s="590">
        <v>0</v>
      </c>
      <c r="G8" s="590">
        <v>131138792.01739997</v>
      </c>
      <c r="H8" s="590">
        <v>11492372.154899999</v>
      </c>
      <c r="I8" s="590">
        <v>3850755.7291999999</v>
      </c>
      <c r="J8" s="590">
        <v>582500.27339999995</v>
      </c>
      <c r="K8" s="590">
        <v>0</v>
      </c>
      <c r="L8" s="590">
        <v>64730877.901697636</v>
      </c>
      <c r="M8" s="590">
        <v>6983616.1185000036</v>
      </c>
      <c r="N8" s="590">
        <v>1931789.8101999999</v>
      </c>
      <c r="O8" s="590">
        <v>3926586.1902000001</v>
      </c>
      <c r="P8" s="590">
        <v>5607424.320700001</v>
      </c>
      <c r="Q8" s="590">
        <v>3358433.9364</v>
      </c>
      <c r="R8" s="590">
        <v>815093.81350000005</v>
      </c>
      <c r="S8" s="590">
        <v>0</v>
      </c>
      <c r="T8" s="590">
        <v>0</v>
      </c>
      <c r="U8" s="590">
        <v>1623229.8424976608</v>
      </c>
    </row>
    <row r="9" spans="1:22">
      <c r="A9" s="380">
        <v>1.1000000000000001</v>
      </c>
      <c r="B9" s="403" t="s">
        <v>634</v>
      </c>
      <c r="C9" s="593"/>
      <c r="D9" s="590"/>
      <c r="E9" s="590"/>
      <c r="F9" s="590"/>
      <c r="G9" s="590"/>
      <c r="H9" s="590"/>
      <c r="I9" s="590"/>
      <c r="J9" s="590"/>
      <c r="K9" s="590"/>
      <c r="L9" s="590"/>
      <c r="M9" s="590"/>
      <c r="N9" s="590"/>
      <c r="O9" s="590"/>
      <c r="P9" s="590"/>
      <c r="Q9" s="590"/>
      <c r="R9" s="590"/>
      <c r="S9" s="590"/>
      <c r="T9" s="590"/>
      <c r="U9" s="590"/>
    </row>
    <row r="10" spans="1:22">
      <c r="A10" s="380">
        <v>1.2</v>
      </c>
      <c r="B10" s="403" t="s">
        <v>635</v>
      </c>
      <c r="C10" s="593"/>
      <c r="D10" s="590"/>
      <c r="E10" s="590"/>
      <c r="F10" s="590"/>
      <c r="G10" s="590"/>
      <c r="H10" s="590"/>
      <c r="I10" s="590"/>
      <c r="J10" s="590"/>
      <c r="K10" s="590"/>
      <c r="L10" s="590"/>
      <c r="M10" s="590"/>
      <c r="N10" s="590"/>
      <c r="O10" s="590"/>
      <c r="P10" s="590"/>
      <c r="Q10" s="590"/>
      <c r="R10" s="590"/>
      <c r="S10" s="590"/>
      <c r="T10" s="590"/>
      <c r="U10" s="590"/>
    </row>
    <row r="11" spans="1:22">
      <c r="A11" s="380">
        <v>1.3</v>
      </c>
      <c r="B11" s="403" t="s">
        <v>636</v>
      </c>
      <c r="C11" s="593"/>
      <c r="D11" s="590"/>
      <c r="E11" s="590"/>
      <c r="F11" s="590"/>
      <c r="G11" s="590"/>
      <c r="H11" s="590"/>
      <c r="I11" s="590"/>
      <c r="J11" s="590"/>
      <c r="K11" s="590"/>
      <c r="L11" s="590"/>
      <c r="M11" s="590"/>
      <c r="N11" s="590"/>
      <c r="O11" s="590"/>
      <c r="P11" s="590"/>
      <c r="Q11" s="590"/>
      <c r="R11" s="590"/>
      <c r="S11" s="590"/>
      <c r="T11" s="590"/>
      <c r="U11" s="590"/>
    </row>
    <row r="12" spans="1:22">
      <c r="A12" s="380">
        <v>1.4</v>
      </c>
      <c r="B12" s="403" t="s">
        <v>637</v>
      </c>
      <c r="C12" s="593">
        <v>39629195.349699996</v>
      </c>
      <c r="D12" s="590">
        <v>39165270.541000001</v>
      </c>
      <c r="E12" s="590">
        <v>82733.400500000003</v>
      </c>
      <c r="F12" s="590">
        <v>0</v>
      </c>
      <c r="G12" s="590">
        <v>116903.23190000001</v>
      </c>
      <c r="H12" s="590">
        <v>116903.23190000001</v>
      </c>
      <c r="I12" s="590">
        <v>0</v>
      </c>
      <c r="J12" s="590">
        <v>0</v>
      </c>
      <c r="K12" s="590">
        <v>0</v>
      </c>
      <c r="L12" s="590">
        <v>347021.57679999998</v>
      </c>
      <c r="M12" s="590">
        <v>0</v>
      </c>
      <c r="N12" s="590">
        <v>0</v>
      </c>
      <c r="O12" s="590">
        <v>0</v>
      </c>
      <c r="P12" s="590">
        <v>0</v>
      </c>
      <c r="Q12" s="590">
        <v>0</v>
      </c>
      <c r="R12" s="590">
        <v>0</v>
      </c>
      <c r="S12" s="590">
        <v>0</v>
      </c>
      <c r="T12" s="590">
        <v>0</v>
      </c>
      <c r="U12" s="590">
        <v>0</v>
      </c>
    </row>
    <row r="13" spans="1:22">
      <c r="A13" s="380">
        <v>1.5</v>
      </c>
      <c r="B13" s="403" t="s">
        <v>638</v>
      </c>
      <c r="C13" s="593">
        <v>426430854.01739997</v>
      </c>
      <c r="D13" s="590">
        <v>336226359.17199993</v>
      </c>
      <c r="E13" s="590">
        <v>6829265.4746000003</v>
      </c>
      <c r="F13" s="590">
        <v>0</v>
      </c>
      <c r="G13" s="590">
        <v>66672601.388100013</v>
      </c>
      <c r="H13" s="590">
        <v>9573447.2031999994</v>
      </c>
      <c r="I13" s="590">
        <v>2435699.693</v>
      </c>
      <c r="J13" s="590">
        <v>32270.708200000001</v>
      </c>
      <c r="K13" s="590">
        <v>0</v>
      </c>
      <c r="L13" s="590">
        <v>23531893.457299992</v>
      </c>
      <c r="M13" s="590">
        <v>2808615.9329000004</v>
      </c>
      <c r="N13" s="590">
        <v>843463.77209999994</v>
      </c>
      <c r="O13" s="590">
        <v>2374243.1245000004</v>
      </c>
      <c r="P13" s="590">
        <v>861998.81420000002</v>
      </c>
      <c r="Q13" s="590">
        <v>1006687.1777999999</v>
      </c>
      <c r="R13" s="590">
        <v>238162.23060000001</v>
      </c>
      <c r="S13" s="590">
        <v>0</v>
      </c>
      <c r="T13" s="590">
        <v>0</v>
      </c>
      <c r="U13" s="590">
        <v>446095.67190000002</v>
      </c>
    </row>
    <row r="14" spans="1:22">
      <c r="A14" s="380">
        <v>1.6</v>
      </c>
      <c r="B14" s="403" t="s">
        <v>639</v>
      </c>
      <c r="C14" s="593">
        <v>483907336.75289959</v>
      </c>
      <c r="D14" s="590">
        <v>378706086.48789972</v>
      </c>
      <c r="E14" s="590">
        <v>6383292.6755999979</v>
      </c>
      <c r="F14" s="590">
        <v>0</v>
      </c>
      <c r="G14" s="590">
        <v>64349287.397399954</v>
      </c>
      <c r="H14" s="590">
        <v>1802021.7197999998</v>
      </c>
      <c r="I14" s="590">
        <v>1415056.0362000002</v>
      </c>
      <c r="J14" s="590">
        <v>550229.56519999995</v>
      </c>
      <c r="K14" s="590">
        <v>0</v>
      </c>
      <c r="L14" s="590">
        <v>40851962.867597647</v>
      </c>
      <c r="M14" s="590">
        <v>4175000.1856000028</v>
      </c>
      <c r="N14" s="590">
        <v>1088326.0381</v>
      </c>
      <c r="O14" s="590">
        <v>1552343.0656999999</v>
      </c>
      <c r="P14" s="590">
        <v>4745425.5065000011</v>
      </c>
      <c r="Q14" s="590">
        <v>2351746.7586000003</v>
      </c>
      <c r="R14" s="590">
        <v>576931.58290000004</v>
      </c>
      <c r="S14" s="590">
        <v>0</v>
      </c>
      <c r="T14" s="590">
        <v>0</v>
      </c>
      <c r="U14" s="590">
        <v>1177134.1705976608</v>
      </c>
    </row>
    <row r="15" spans="1:22">
      <c r="A15" s="422">
        <v>2</v>
      </c>
      <c r="B15" s="385" t="s">
        <v>640</v>
      </c>
      <c r="C15" s="589">
        <v>122229070.13</v>
      </c>
      <c r="D15" s="590">
        <v>122229070.13</v>
      </c>
      <c r="E15" s="590">
        <v>0</v>
      </c>
      <c r="F15" s="590">
        <v>0</v>
      </c>
      <c r="G15" s="590">
        <v>0</v>
      </c>
      <c r="H15" s="590">
        <v>0</v>
      </c>
      <c r="I15" s="590">
        <v>0</v>
      </c>
      <c r="J15" s="590">
        <v>0</v>
      </c>
      <c r="K15" s="590">
        <v>0</v>
      </c>
      <c r="L15" s="590">
        <v>0</v>
      </c>
      <c r="M15" s="590">
        <v>0</v>
      </c>
      <c r="N15" s="590">
        <v>0</v>
      </c>
      <c r="O15" s="590">
        <v>0</v>
      </c>
      <c r="P15" s="590">
        <v>0</v>
      </c>
      <c r="Q15" s="590">
        <v>0</v>
      </c>
      <c r="R15" s="590">
        <v>0</v>
      </c>
      <c r="S15" s="590">
        <v>0</v>
      </c>
      <c r="T15" s="590">
        <v>0</v>
      </c>
      <c r="U15" s="590">
        <v>0</v>
      </c>
    </row>
    <row r="16" spans="1:22">
      <c r="A16" s="380">
        <v>2.1</v>
      </c>
      <c r="B16" s="403" t="s">
        <v>634</v>
      </c>
      <c r="C16" s="593">
        <v>8183426.5300000003</v>
      </c>
      <c r="D16" s="590">
        <v>8183426.5300000003</v>
      </c>
      <c r="E16" s="590">
        <v>0</v>
      </c>
      <c r="F16" s="590">
        <v>0</v>
      </c>
      <c r="G16" s="590">
        <v>0</v>
      </c>
      <c r="H16" s="590">
        <v>0</v>
      </c>
      <c r="I16" s="590">
        <v>0</v>
      </c>
      <c r="J16" s="590">
        <v>0</v>
      </c>
      <c r="K16" s="590">
        <v>0</v>
      </c>
      <c r="L16" s="590">
        <v>0</v>
      </c>
      <c r="M16" s="590">
        <v>0</v>
      </c>
      <c r="N16" s="590">
        <v>0</v>
      </c>
      <c r="O16" s="590">
        <v>0</v>
      </c>
      <c r="P16" s="590">
        <v>0</v>
      </c>
      <c r="Q16" s="590">
        <v>0</v>
      </c>
      <c r="R16" s="590">
        <v>0</v>
      </c>
      <c r="S16" s="590">
        <v>0</v>
      </c>
      <c r="T16" s="590">
        <v>0</v>
      </c>
      <c r="U16" s="590">
        <v>0</v>
      </c>
    </row>
    <row r="17" spans="1:21">
      <c r="A17" s="380">
        <v>2.2000000000000002</v>
      </c>
      <c r="B17" s="403" t="s">
        <v>635</v>
      </c>
      <c r="C17" s="593">
        <v>75045643.599999994</v>
      </c>
      <c r="D17" s="590">
        <v>75045643.599999994</v>
      </c>
      <c r="E17" s="590">
        <v>0</v>
      </c>
      <c r="F17" s="590">
        <v>0</v>
      </c>
      <c r="G17" s="590">
        <v>0</v>
      </c>
      <c r="H17" s="590">
        <v>0</v>
      </c>
      <c r="I17" s="590">
        <v>0</v>
      </c>
      <c r="J17" s="590">
        <v>0</v>
      </c>
      <c r="K17" s="590">
        <v>0</v>
      </c>
      <c r="L17" s="590">
        <v>0</v>
      </c>
      <c r="M17" s="590">
        <v>0</v>
      </c>
      <c r="N17" s="590">
        <v>0</v>
      </c>
      <c r="O17" s="590">
        <v>0</v>
      </c>
      <c r="P17" s="590">
        <v>0</v>
      </c>
      <c r="Q17" s="590">
        <v>0</v>
      </c>
      <c r="R17" s="590">
        <v>0</v>
      </c>
      <c r="S17" s="590">
        <v>0</v>
      </c>
      <c r="T17" s="590">
        <v>0</v>
      </c>
      <c r="U17" s="590">
        <v>0</v>
      </c>
    </row>
    <row r="18" spans="1:21">
      <c r="A18" s="380">
        <v>2.2999999999999998</v>
      </c>
      <c r="B18" s="403" t="s">
        <v>636</v>
      </c>
      <c r="C18" s="593">
        <v>34000000</v>
      </c>
      <c r="D18" s="590">
        <v>34000000</v>
      </c>
      <c r="E18" s="590">
        <v>0</v>
      </c>
      <c r="F18" s="590">
        <v>0</v>
      </c>
      <c r="G18" s="590">
        <v>0</v>
      </c>
      <c r="H18" s="590">
        <v>0</v>
      </c>
      <c r="I18" s="590">
        <v>0</v>
      </c>
      <c r="J18" s="590">
        <v>0</v>
      </c>
      <c r="K18" s="590">
        <v>0</v>
      </c>
      <c r="L18" s="590">
        <v>0</v>
      </c>
      <c r="M18" s="590">
        <v>0</v>
      </c>
      <c r="N18" s="590">
        <v>0</v>
      </c>
      <c r="O18" s="590">
        <v>0</v>
      </c>
      <c r="P18" s="590">
        <v>0</v>
      </c>
      <c r="Q18" s="590">
        <v>0</v>
      </c>
      <c r="R18" s="590">
        <v>0</v>
      </c>
      <c r="S18" s="590">
        <v>0</v>
      </c>
      <c r="T18" s="590">
        <v>0</v>
      </c>
      <c r="U18" s="590">
        <v>0</v>
      </c>
    </row>
    <row r="19" spans="1:21">
      <c r="A19" s="380">
        <v>2.4</v>
      </c>
      <c r="B19" s="403" t="s">
        <v>637</v>
      </c>
      <c r="C19" s="593">
        <v>5000000</v>
      </c>
      <c r="D19" s="590">
        <v>5000000</v>
      </c>
      <c r="E19" s="590">
        <v>0</v>
      </c>
      <c r="F19" s="590">
        <v>0</v>
      </c>
      <c r="G19" s="590">
        <v>0</v>
      </c>
      <c r="H19" s="590">
        <v>0</v>
      </c>
      <c r="I19" s="590">
        <v>0</v>
      </c>
      <c r="J19" s="590">
        <v>0</v>
      </c>
      <c r="K19" s="590">
        <v>0</v>
      </c>
      <c r="L19" s="590">
        <v>0</v>
      </c>
      <c r="M19" s="590">
        <v>0</v>
      </c>
      <c r="N19" s="590">
        <v>0</v>
      </c>
      <c r="O19" s="590">
        <v>0</v>
      </c>
      <c r="P19" s="590">
        <v>0</v>
      </c>
      <c r="Q19" s="590">
        <v>0</v>
      </c>
      <c r="R19" s="590">
        <v>0</v>
      </c>
      <c r="S19" s="590">
        <v>0</v>
      </c>
      <c r="T19" s="590">
        <v>0</v>
      </c>
      <c r="U19" s="590">
        <v>0</v>
      </c>
    </row>
    <row r="20" spans="1:21">
      <c r="A20" s="380">
        <v>2.5</v>
      </c>
      <c r="B20" s="403" t="s">
        <v>638</v>
      </c>
      <c r="C20" s="593">
        <v>0</v>
      </c>
      <c r="D20" s="590">
        <v>0</v>
      </c>
      <c r="E20" s="590">
        <v>0</v>
      </c>
      <c r="F20" s="590">
        <v>0</v>
      </c>
      <c r="G20" s="590">
        <v>0</v>
      </c>
      <c r="H20" s="590">
        <v>0</v>
      </c>
      <c r="I20" s="590">
        <v>0</v>
      </c>
      <c r="J20" s="590">
        <v>0</v>
      </c>
      <c r="K20" s="590">
        <v>0</v>
      </c>
      <c r="L20" s="590">
        <v>0</v>
      </c>
      <c r="M20" s="590">
        <v>0</v>
      </c>
      <c r="N20" s="590">
        <v>0</v>
      </c>
      <c r="O20" s="590">
        <v>0</v>
      </c>
      <c r="P20" s="590">
        <v>0</v>
      </c>
      <c r="Q20" s="590">
        <v>0</v>
      </c>
      <c r="R20" s="590">
        <v>0</v>
      </c>
      <c r="S20" s="590">
        <v>0</v>
      </c>
      <c r="T20" s="590">
        <v>0</v>
      </c>
      <c r="U20" s="590">
        <v>0</v>
      </c>
    </row>
    <row r="21" spans="1:21">
      <c r="A21" s="380">
        <v>2.6</v>
      </c>
      <c r="B21" s="403" t="s">
        <v>639</v>
      </c>
      <c r="C21" s="593">
        <v>0</v>
      </c>
      <c r="D21" s="590">
        <v>0</v>
      </c>
      <c r="E21" s="590">
        <v>0</v>
      </c>
      <c r="F21" s="590">
        <v>0</v>
      </c>
      <c r="G21" s="590">
        <v>0</v>
      </c>
      <c r="H21" s="590">
        <v>0</v>
      </c>
      <c r="I21" s="590">
        <v>0</v>
      </c>
      <c r="J21" s="590">
        <v>0</v>
      </c>
      <c r="K21" s="590">
        <v>0</v>
      </c>
      <c r="L21" s="590">
        <v>0</v>
      </c>
      <c r="M21" s="590">
        <v>0</v>
      </c>
      <c r="N21" s="590">
        <v>0</v>
      </c>
      <c r="O21" s="590">
        <v>0</v>
      </c>
      <c r="P21" s="590">
        <v>0</v>
      </c>
      <c r="Q21" s="590">
        <v>0</v>
      </c>
      <c r="R21" s="590">
        <v>0</v>
      </c>
      <c r="S21" s="590">
        <v>0</v>
      </c>
      <c r="T21" s="590">
        <v>0</v>
      </c>
      <c r="U21" s="590">
        <v>0</v>
      </c>
    </row>
    <row r="22" spans="1:21">
      <c r="A22" s="422">
        <v>3</v>
      </c>
      <c r="B22" s="385" t="s">
        <v>695</v>
      </c>
      <c r="C22" s="589">
        <v>74503127.330199957</v>
      </c>
      <c r="D22" s="590">
        <v>51604277.770199977</v>
      </c>
      <c r="E22" s="590">
        <v>0</v>
      </c>
      <c r="F22" s="594"/>
      <c r="G22" s="590">
        <v>0</v>
      </c>
      <c r="H22" s="594"/>
      <c r="I22" s="594"/>
      <c r="J22" s="594"/>
      <c r="K22" s="594"/>
      <c r="L22" s="590">
        <v>0</v>
      </c>
      <c r="M22" s="594"/>
      <c r="N22" s="594"/>
      <c r="O22" s="594"/>
      <c r="P22" s="594"/>
      <c r="Q22" s="594"/>
      <c r="R22" s="594"/>
      <c r="S22" s="594"/>
      <c r="T22" s="594"/>
      <c r="U22" s="590">
        <v>0</v>
      </c>
    </row>
    <row r="23" spans="1:21">
      <c r="A23" s="380">
        <v>3.1</v>
      </c>
      <c r="B23" s="403" t="s">
        <v>634</v>
      </c>
      <c r="C23" s="593">
        <v>0</v>
      </c>
      <c r="D23" s="590">
        <v>0</v>
      </c>
      <c r="E23" s="590">
        <v>0</v>
      </c>
      <c r="F23" s="594"/>
      <c r="G23" s="590">
        <v>0</v>
      </c>
      <c r="H23" s="594"/>
      <c r="I23" s="594"/>
      <c r="J23" s="594"/>
      <c r="K23" s="594"/>
      <c r="L23" s="590">
        <v>0</v>
      </c>
      <c r="M23" s="594"/>
      <c r="N23" s="594"/>
      <c r="O23" s="594"/>
      <c r="P23" s="594"/>
      <c r="Q23" s="594"/>
      <c r="R23" s="594"/>
      <c r="S23" s="594"/>
      <c r="T23" s="594"/>
      <c r="U23" s="590">
        <v>0</v>
      </c>
    </row>
    <row r="24" spans="1:21">
      <c r="A24" s="380">
        <v>3.2</v>
      </c>
      <c r="B24" s="403" t="s">
        <v>635</v>
      </c>
      <c r="C24" s="593">
        <v>0</v>
      </c>
      <c r="D24" s="590">
        <v>0</v>
      </c>
      <c r="E24" s="590">
        <v>0</v>
      </c>
      <c r="F24" s="594"/>
      <c r="G24" s="590">
        <v>0</v>
      </c>
      <c r="H24" s="594"/>
      <c r="I24" s="594"/>
      <c r="J24" s="594"/>
      <c r="K24" s="594"/>
      <c r="L24" s="590">
        <v>0</v>
      </c>
      <c r="M24" s="594"/>
      <c r="N24" s="594"/>
      <c r="O24" s="594"/>
      <c r="P24" s="594"/>
      <c r="Q24" s="594"/>
      <c r="R24" s="594"/>
      <c r="S24" s="594"/>
      <c r="T24" s="594"/>
      <c r="U24" s="590">
        <v>0</v>
      </c>
    </row>
    <row r="25" spans="1:21">
      <c r="A25" s="380">
        <v>3.3</v>
      </c>
      <c r="B25" s="403" t="s">
        <v>636</v>
      </c>
      <c r="C25" s="593">
        <v>0</v>
      </c>
      <c r="D25" s="590">
        <v>0</v>
      </c>
      <c r="E25" s="590">
        <v>0</v>
      </c>
      <c r="F25" s="594"/>
      <c r="G25" s="590">
        <v>0</v>
      </c>
      <c r="H25" s="594"/>
      <c r="I25" s="594"/>
      <c r="J25" s="594"/>
      <c r="K25" s="594"/>
      <c r="L25" s="590">
        <v>0</v>
      </c>
      <c r="M25" s="594"/>
      <c r="N25" s="594"/>
      <c r="O25" s="594"/>
      <c r="P25" s="594"/>
      <c r="Q25" s="594"/>
      <c r="R25" s="594"/>
      <c r="S25" s="594"/>
      <c r="T25" s="594"/>
      <c r="U25" s="590">
        <v>0</v>
      </c>
    </row>
    <row r="26" spans="1:21">
      <c r="A26" s="380">
        <v>3.4</v>
      </c>
      <c r="B26" s="403" t="s">
        <v>637</v>
      </c>
      <c r="C26" s="593">
        <v>1046867.13</v>
      </c>
      <c r="D26" s="590">
        <v>603015</v>
      </c>
      <c r="E26" s="590">
        <v>0</v>
      </c>
      <c r="F26" s="594"/>
      <c r="G26" s="590">
        <v>0</v>
      </c>
      <c r="H26" s="594"/>
      <c r="I26" s="594"/>
      <c r="J26" s="594"/>
      <c r="K26" s="594"/>
      <c r="L26" s="590">
        <v>0</v>
      </c>
      <c r="M26" s="594"/>
      <c r="N26" s="594"/>
      <c r="O26" s="594"/>
      <c r="P26" s="594"/>
      <c r="Q26" s="594"/>
      <c r="R26" s="594"/>
      <c r="S26" s="594"/>
      <c r="T26" s="594"/>
      <c r="U26" s="590">
        <v>0</v>
      </c>
    </row>
    <row r="27" spans="1:21">
      <c r="A27" s="380">
        <v>3.5</v>
      </c>
      <c r="B27" s="403" t="s">
        <v>638</v>
      </c>
      <c r="C27" s="593">
        <v>73456260.200199962</v>
      </c>
      <c r="D27" s="590">
        <v>51001262.770199977</v>
      </c>
      <c r="E27" s="590">
        <v>0</v>
      </c>
      <c r="F27" s="594"/>
      <c r="G27" s="590">
        <v>660589.87</v>
      </c>
      <c r="H27" s="594"/>
      <c r="I27" s="594"/>
      <c r="J27" s="594"/>
      <c r="K27" s="594"/>
      <c r="L27" s="590">
        <v>45500</v>
      </c>
      <c r="M27" s="594"/>
      <c r="N27" s="594"/>
      <c r="O27" s="594"/>
      <c r="P27" s="594"/>
      <c r="Q27" s="594"/>
      <c r="R27" s="594"/>
      <c r="S27" s="594"/>
      <c r="T27" s="594"/>
      <c r="U27" s="590">
        <v>0</v>
      </c>
    </row>
    <row r="28" spans="1:21">
      <c r="A28" s="380">
        <v>3.6</v>
      </c>
      <c r="B28" s="403" t="s">
        <v>639</v>
      </c>
      <c r="C28" s="593">
        <v>0</v>
      </c>
      <c r="D28" s="590">
        <v>0</v>
      </c>
      <c r="E28" s="590">
        <v>0</v>
      </c>
      <c r="F28" s="594"/>
      <c r="G28" s="590">
        <v>0</v>
      </c>
      <c r="H28" s="594"/>
      <c r="I28" s="594"/>
      <c r="J28" s="594"/>
      <c r="K28" s="594"/>
      <c r="L28" s="590">
        <v>0</v>
      </c>
      <c r="M28" s="594"/>
      <c r="N28" s="594"/>
      <c r="O28" s="594"/>
      <c r="P28" s="594"/>
      <c r="Q28" s="594"/>
      <c r="R28" s="594"/>
      <c r="S28" s="594"/>
      <c r="T28" s="594"/>
      <c r="U28" s="590">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election activeCell="C8" sqref="C8:T22"/>
    </sheetView>
  </sheetViews>
  <sheetFormatPr defaultColWidth="9.140625" defaultRowHeight="12.75"/>
  <cols>
    <col min="1" max="1" width="11.85546875" style="383" bestFit="1" customWidth="1"/>
    <col min="2" max="2" width="90.28515625" style="383" bestFit="1" customWidth="1"/>
    <col min="3" max="3" width="19.5703125" style="383" customWidth="1"/>
    <col min="4" max="4" width="21.140625" style="383" customWidth="1"/>
    <col min="5" max="5" width="17.140625" style="383" customWidth="1"/>
    <col min="6" max="6" width="22.28515625" style="383" customWidth="1"/>
    <col min="7" max="7" width="19.28515625" style="383" customWidth="1"/>
    <col min="8" max="8" width="17.140625" style="383" customWidth="1"/>
    <col min="9" max="14" width="22.28515625" style="383" customWidth="1"/>
    <col min="15" max="15" width="23" style="383" customWidth="1"/>
    <col min="16" max="16" width="21.7109375" style="383" bestFit="1" customWidth="1"/>
    <col min="17" max="19" width="19" style="383" bestFit="1" customWidth="1"/>
    <col min="20" max="20" width="14.7109375" style="383" customWidth="1"/>
    <col min="21" max="21" width="20" style="383" customWidth="1"/>
    <col min="22" max="16384" width="9.140625" style="383"/>
  </cols>
  <sheetData>
    <row r="1" spans="1:21">
      <c r="A1" s="375" t="s">
        <v>30</v>
      </c>
    </row>
    <row r="2" spans="1:21" ht="13.5">
      <c r="A2" s="375" t="s">
        <v>31</v>
      </c>
      <c r="B2" s="408">
        <f>'1. key ratios '!B2</f>
        <v>44377</v>
      </c>
      <c r="C2" s="408"/>
    </row>
    <row r="3" spans="1:21">
      <c r="A3" s="376" t="s">
        <v>642</v>
      </c>
    </row>
    <row r="5" spans="1:21" ht="13.5" customHeight="1">
      <c r="A5" s="694" t="s">
        <v>643</v>
      </c>
      <c r="B5" s="695"/>
      <c r="C5" s="703" t="s">
        <v>644</v>
      </c>
      <c r="D5" s="704"/>
      <c r="E5" s="704"/>
      <c r="F5" s="704"/>
      <c r="G5" s="704"/>
      <c r="H5" s="704"/>
      <c r="I5" s="704"/>
      <c r="J5" s="704"/>
      <c r="K5" s="704"/>
      <c r="L5" s="704"/>
      <c r="M5" s="704"/>
      <c r="N5" s="704"/>
      <c r="O5" s="704"/>
      <c r="P5" s="704"/>
      <c r="Q5" s="704"/>
      <c r="R5" s="704"/>
      <c r="S5" s="704"/>
      <c r="T5" s="705"/>
      <c r="U5" s="419"/>
    </row>
    <row r="6" spans="1:21">
      <c r="A6" s="696"/>
      <c r="B6" s="697"/>
      <c r="C6" s="687" t="s">
        <v>109</v>
      </c>
      <c r="D6" s="700" t="s">
        <v>645</v>
      </c>
      <c r="E6" s="700"/>
      <c r="F6" s="701"/>
      <c r="G6" s="702" t="s">
        <v>646</v>
      </c>
      <c r="H6" s="700"/>
      <c r="I6" s="700"/>
      <c r="J6" s="700"/>
      <c r="K6" s="701"/>
      <c r="L6" s="690" t="s">
        <v>647</v>
      </c>
      <c r="M6" s="691"/>
      <c r="N6" s="691"/>
      <c r="O6" s="691"/>
      <c r="P6" s="691"/>
      <c r="Q6" s="691"/>
      <c r="R6" s="691"/>
      <c r="S6" s="691"/>
      <c r="T6" s="692"/>
      <c r="U6" s="407"/>
    </row>
    <row r="7" spans="1:21">
      <c r="A7" s="698"/>
      <c r="B7" s="699"/>
      <c r="C7" s="688"/>
      <c r="E7" s="401" t="s">
        <v>620</v>
      </c>
      <c r="F7" s="413" t="s">
        <v>621</v>
      </c>
      <c r="H7" s="401" t="s">
        <v>620</v>
      </c>
      <c r="I7" s="413" t="s">
        <v>622</v>
      </c>
      <c r="J7" s="413" t="s">
        <v>623</v>
      </c>
      <c r="K7" s="413" t="s">
        <v>624</v>
      </c>
      <c r="L7" s="423"/>
      <c r="M7" s="401" t="s">
        <v>625</v>
      </c>
      <c r="N7" s="413" t="s">
        <v>623</v>
      </c>
      <c r="O7" s="413" t="s">
        <v>626</v>
      </c>
      <c r="P7" s="413" t="s">
        <v>627</v>
      </c>
      <c r="Q7" s="413" t="s">
        <v>628</v>
      </c>
      <c r="R7" s="413" t="s">
        <v>629</v>
      </c>
      <c r="S7" s="413" t="s">
        <v>630</v>
      </c>
      <c r="T7" s="421" t="s">
        <v>631</v>
      </c>
      <c r="U7" s="419"/>
    </row>
    <row r="8" spans="1:21">
      <c r="A8" s="423">
        <v>1</v>
      </c>
      <c r="B8" s="418" t="s">
        <v>633</v>
      </c>
      <c r="C8" s="595">
        <v>949967386.12</v>
      </c>
      <c r="D8" s="590">
        <v>754097716.23000371</v>
      </c>
      <c r="E8" s="590">
        <v>13295291.549999993</v>
      </c>
      <c r="F8" s="590">
        <v>0</v>
      </c>
      <c r="G8" s="590">
        <v>131138791.9999999</v>
      </c>
      <c r="H8" s="590">
        <v>11492372.15</v>
      </c>
      <c r="I8" s="590">
        <v>3850755.74</v>
      </c>
      <c r="J8" s="590">
        <v>582500.28</v>
      </c>
      <c r="K8" s="590">
        <v>0</v>
      </c>
      <c r="L8" s="590">
        <v>64730877.889997944</v>
      </c>
      <c r="M8" s="590">
        <v>6983382.1599999992</v>
      </c>
      <c r="N8" s="590">
        <v>1931789.8099999998</v>
      </c>
      <c r="O8" s="590">
        <v>3926586.1899999995</v>
      </c>
      <c r="P8" s="590">
        <v>5607424.3200000003</v>
      </c>
      <c r="Q8" s="590">
        <v>3358433.94</v>
      </c>
      <c r="R8" s="590">
        <v>815093.82000000007</v>
      </c>
      <c r="S8" s="590">
        <v>0</v>
      </c>
      <c r="T8" s="590">
        <v>0</v>
      </c>
    </row>
    <row r="9" spans="1:21">
      <c r="A9" s="403">
        <v>1.1000000000000001</v>
      </c>
      <c r="B9" s="403" t="s">
        <v>648</v>
      </c>
      <c r="C9" s="593">
        <v>904333599.66999924</v>
      </c>
      <c r="D9" s="590">
        <v>712255675.89999986</v>
      </c>
      <c r="E9" s="590">
        <v>12866130.039999995</v>
      </c>
      <c r="F9" s="590">
        <v>0</v>
      </c>
      <c r="G9" s="590">
        <v>129901340.48999995</v>
      </c>
      <c r="H9" s="590">
        <v>11276418.369999997</v>
      </c>
      <c r="I9" s="590">
        <v>3752596.25</v>
      </c>
      <c r="J9" s="590">
        <v>582500.28</v>
      </c>
      <c r="K9" s="590">
        <v>0</v>
      </c>
      <c r="L9" s="590">
        <v>62176583.280000016</v>
      </c>
      <c r="M9" s="590">
        <v>6726752.1399999997</v>
      </c>
      <c r="N9" s="590">
        <v>1849376.3599999999</v>
      </c>
      <c r="O9" s="590">
        <v>3643636.74</v>
      </c>
      <c r="P9" s="590">
        <v>4971502.3900000006</v>
      </c>
      <c r="Q9" s="590">
        <v>3344967.04</v>
      </c>
      <c r="R9" s="590">
        <v>815093.82000000007</v>
      </c>
      <c r="S9" s="590">
        <v>0</v>
      </c>
      <c r="T9" s="590">
        <v>0</v>
      </c>
    </row>
    <row r="10" spans="1:21">
      <c r="A10" s="424" t="s">
        <v>14</v>
      </c>
      <c r="B10" s="424" t="s">
        <v>649</v>
      </c>
      <c r="C10" s="596">
        <v>839794803.28999901</v>
      </c>
      <c r="D10" s="590">
        <v>648320135.94999957</v>
      </c>
      <c r="E10" s="590">
        <v>12844850.649999995</v>
      </c>
      <c r="F10" s="590">
        <v>0</v>
      </c>
      <c r="G10" s="590">
        <v>129740341.04999995</v>
      </c>
      <c r="H10" s="590">
        <v>11117174.370000001</v>
      </c>
      <c r="I10" s="590">
        <v>3752596.25</v>
      </c>
      <c r="J10" s="590">
        <v>582500.28</v>
      </c>
      <c r="K10" s="590">
        <v>0</v>
      </c>
      <c r="L10" s="590">
        <v>61734326.290000021</v>
      </c>
      <c r="M10" s="590">
        <v>6671864.3699999992</v>
      </c>
      <c r="N10" s="590">
        <v>1849376.3599999999</v>
      </c>
      <c r="O10" s="590">
        <v>3643636.74</v>
      </c>
      <c r="P10" s="590">
        <v>4908606.1100000003</v>
      </c>
      <c r="Q10" s="590">
        <v>3307613.53</v>
      </c>
      <c r="R10" s="590">
        <v>815093.82000000007</v>
      </c>
      <c r="S10" s="590">
        <v>0</v>
      </c>
      <c r="T10" s="590">
        <v>0</v>
      </c>
    </row>
    <row r="11" spans="1:21">
      <c r="A11" s="393" t="s">
        <v>650</v>
      </c>
      <c r="B11" s="393" t="s">
        <v>651</v>
      </c>
      <c r="C11" s="597">
        <v>495594048.91000217</v>
      </c>
      <c r="D11" s="590">
        <v>395789180.72000104</v>
      </c>
      <c r="E11" s="590">
        <v>6158234.8599999994</v>
      </c>
      <c r="F11" s="590">
        <v>0</v>
      </c>
      <c r="G11" s="590">
        <v>68732377.419999942</v>
      </c>
      <c r="H11" s="590">
        <v>7225531.6999999993</v>
      </c>
      <c r="I11" s="590">
        <v>2453487.6599999997</v>
      </c>
      <c r="J11" s="590">
        <v>582500.28</v>
      </c>
      <c r="K11" s="590">
        <v>0</v>
      </c>
      <c r="L11" s="590">
        <v>31072490.769999988</v>
      </c>
      <c r="M11" s="590">
        <v>4657609.3800000008</v>
      </c>
      <c r="N11" s="590">
        <v>869497.35</v>
      </c>
      <c r="O11" s="590">
        <v>1413895.2799999998</v>
      </c>
      <c r="P11" s="590">
        <v>1713986.69</v>
      </c>
      <c r="Q11" s="590">
        <v>2385274.61</v>
      </c>
      <c r="R11" s="590">
        <v>393497.54000000004</v>
      </c>
      <c r="S11" s="590">
        <v>0</v>
      </c>
      <c r="T11" s="590">
        <v>0</v>
      </c>
    </row>
    <row r="12" spans="1:21">
      <c r="A12" s="393" t="s">
        <v>652</v>
      </c>
      <c r="B12" s="393" t="s">
        <v>653</v>
      </c>
      <c r="C12" s="597">
        <v>223362233.53000006</v>
      </c>
      <c r="D12" s="590">
        <v>161113982.69</v>
      </c>
      <c r="E12" s="590">
        <v>3394750.07</v>
      </c>
      <c r="F12" s="590">
        <v>0</v>
      </c>
      <c r="G12" s="590">
        <v>42906535.089999996</v>
      </c>
      <c r="H12" s="590">
        <v>2525606.65</v>
      </c>
      <c r="I12" s="590">
        <v>453210.79</v>
      </c>
      <c r="J12" s="590">
        <v>0</v>
      </c>
      <c r="K12" s="590">
        <v>0</v>
      </c>
      <c r="L12" s="590">
        <v>19341715.750000004</v>
      </c>
      <c r="M12" s="590">
        <v>1563117.8199999998</v>
      </c>
      <c r="N12" s="590">
        <v>95355.23</v>
      </c>
      <c r="O12" s="590">
        <v>171486.28</v>
      </c>
      <c r="P12" s="590">
        <v>2077621.73</v>
      </c>
      <c r="Q12" s="590">
        <v>529874.71</v>
      </c>
      <c r="R12" s="590">
        <v>385599.11</v>
      </c>
      <c r="S12" s="590">
        <v>0</v>
      </c>
      <c r="T12" s="590">
        <v>0</v>
      </c>
    </row>
    <row r="13" spans="1:21">
      <c r="A13" s="393" t="s">
        <v>654</v>
      </c>
      <c r="B13" s="393" t="s">
        <v>655</v>
      </c>
      <c r="C13" s="597">
        <v>54169950.900000028</v>
      </c>
      <c r="D13" s="590">
        <v>34812943.50999999</v>
      </c>
      <c r="E13" s="590">
        <v>906267.35000000009</v>
      </c>
      <c r="F13" s="590">
        <v>0</v>
      </c>
      <c r="G13" s="590">
        <v>13393664.759999998</v>
      </c>
      <c r="H13" s="590">
        <v>1332800</v>
      </c>
      <c r="I13" s="590">
        <v>326654.71000000002</v>
      </c>
      <c r="J13" s="590">
        <v>0</v>
      </c>
      <c r="K13" s="590">
        <v>0</v>
      </c>
      <c r="L13" s="590">
        <v>5963342.6299999999</v>
      </c>
      <c r="M13" s="590">
        <v>233877.23</v>
      </c>
      <c r="N13" s="590">
        <v>884523.78</v>
      </c>
      <c r="O13" s="590">
        <v>865601.38000000012</v>
      </c>
      <c r="P13" s="590">
        <v>0</v>
      </c>
      <c r="Q13" s="590">
        <v>0</v>
      </c>
      <c r="R13" s="590">
        <v>0</v>
      </c>
      <c r="S13" s="590">
        <v>0</v>
      </c>
      <c r="T13" s="590">
        <v>0</v>
      </c>
    </row>
    <row r="14" spans="1:21">
      <c r="A14" s="393" t="s">
        <v>656</v>
      </c>
      <c r="B14" s="393" t="s">
        <v>657</v>
      </c>
      <c r="C14" s="597">
        <v>66668569.950000055</v>
      </c>
      <c r="D14" s="590">
        <v>56604029.030000038</v>
      </c>
      <c r="E14" s="590">
        <v>2385598.37</v>
      </c>
      <c r="F14" s="590">
        <v>0</v>
      </c>
      <c r="G14" s="590">
        <v>4707763.7799999993</v>
      </c>
      <c r="H14" s="590">
        <v>33236.020000000004</v>
      </c>
      <c r="I14" s="590">
        <v>519243.08999999997</v>
      </c>
      <c r="J14" s="590">
        <v>0</v>
      </c>
      <c r="K14" s="590">
        <v>0</v>
      </c>
      <c r="L14" s="590">
        <v>5356777.1399999997</v>
      </c>
      <c r="M14" s="590">
        <v>217259.94</v>
      </c>
      <c r="N14" s="590">
        <v>0</v>
      </c>
      <c r="O14" s="590">
        <v>1192653.8</v>
      </c>
      <c r="P14" s="590">
        <v>1116997.6900000002</v>
      </c>
      <c r="Q14" s="590">
        <v>392464.20999999996</v>
      </c>
      <c r="R14" s="590">
        <v>35997.17</v>
      </c>
      <c r="S14" s="590">
        <v>0</v>
      </c>
      <c r="T14" s="590">
        <v>0</v>
      </c>
    </row>
    <row r="15" spans="1:21">
      <c r="A15" s="394">
        <v>1.2</v>
      </c>
      <c r="B15" s="394" t="s">
        <v>658</v>
      </c>
      <c r="C15" s="598">
        <v>49349583.129999876</v>
      </c>
      <c r="D15" s="590">
        <v>13974711.619999994</v>
      </c>
      <c r="E15" s="590">
        <v>257322.54999999996</v>
      </c>
      <c r="F15" s="590">
        <v>0</v>
      </c>
      <c r="G15" s="590">
        <v>12990134.660000004</v>
      </c>
      <c r="H15" s="590">
        <v>1127641.9099999999</v>
      </c>
      <c r="I15" s="590">
        <v>375259.59999999992</v>
      </c>
      <c r="J15" s="590">
        <v>58250.039999999994</v>
      </c>
      <c r="K15" s="590">
        <v>0</v>
      </c>
      <c r="L15" s="590">
        <v>22384736.850000009</v>
      </c>
      <c r="M15" s="590">
        <v>2307198.2999999998</v>
      </c>
      <c r="N15" s="590">
        <v>572864.47</v>
      </c>
      <c r="O15" s="590">
        <v>1456253.41</v>
      </c>
      <c r="P15" s="590">
        <v>2642206.5299999998</v>
      </c>
      <c r="Q15" s="590">
        <v>1675849.8399999996</v>
      </c>
      <c r="R15" s="590">
        <v>589300.47999999998</v>
      </c>
      <c r="S15" s="590">
        <v>0</v>
      </c>
      <c r="T15" s="590">
        <v>0</v>
      </c>
    </row>
    <row r="16" spans="1:21">
      <c r="A16" s="403">
        <v>1.3</v>
      </c>
      <c r="B16" s="394" t="s">
        <v>706</v>
      </c>
      <c r="C16" s="599"/>
      <c r="D16" s="599"/>
      <c r="E16" s="599"/>
      <c r="F16" s="599"/>
      <c r="G16" s="599"/>
      <c r="H16" s="599"/>
      <c r="I16" s="599"/>
      <c r="J16" s="599"/>
      <c r="K16" s="599"/>
      <c r="L16" s="599"/>
      <c r="M16" s="599"/>
      <c r="N16" s="599"/>
      <c r="O16" s="599"/>
      <c r="P16" s="599"/>
      <c r="Q16" s="599"/>
      <c r="R16" s="599"/>
      <c r="S16" s="599"/>
      <c r="T16" s="599"/>
    </row>
    <row r="17" spans="1:20">
      <c r="A17" s="397" t="s">
        <v>659</v>
      </c>
      <c r="B17" s="395" t="s">
        <v>660</v>
      </c>
      <c r="C17" s="600">
        <v>893451604.08999979</v>
      </c>
      <c r="D17" s="591">
        <v>702275721.16000056</v>
      </c>
      <c r="E17" s="591">
        <v>12788664.579999994</v>
      </c>
      <c r="F17" s="591">
        <v>0</v>
      </c>
      <c r="G17" s="591">
        <v>129458015.07999997</v>
      </c>
      <c r="H17" s="591">
        <v>11244973.859999999</v>
      </c>
      <c r="I17" s="591">
        <v>3752596.24</v>
      </c>
      <c r="J17" s="591">
        <v>582500.28</v>
      </c>
      <c r="K17" s="591">
        <v>0</v>
      </c>
      <c r="L17" s="591">
        <v>61717867.850000016</v>
      </c>
      <c r="M17" s="591">
        <v>6678184.9699999997</v>
      </c>
      <c r="N17" s="591">
        <v>1849376.3599999999</v>
      </c>
      <c r="O17" s="591">
        <v>3576072.3499999996</v>
      </c>
      <c r="P17" s="591">
        <v>4901392.43</v>
      </c>
      <c r="Q17" s="591">
        <v>3334821.46</v>
      </c>
      <c r="R17" s="591">
        <v>804379.05</v>
      </c>
      <c r="S17" s="591">
        <v>0</v>
      </c>
      <c r="T17" s="591">
        <v>0</v>
      </c>
    </row>
    <row r="18" spans="1:20">
      <c r="A18" s="396" t="s">
        <v>661</v>
      </c>
      <c r="B18" s="396" t="s">
        <v>662</v>
      </c>
      <c r="C18" s="601">
        <v>811236792.91000044</v>
      </c>
      <c r="D18" s="591">
        <v>623322698.3900007</v>
      </c>
      <c r="E18" s="591">
        <v>12347683.429999994</v>
      </c>
      <c r="F18" s="591">
        <v>0</v>
      </c>
      <c r="G18" s="591">
        <v>127857193.50999999</v>
      </c>
      <c r="H18" s="591">
        <v>11090464.300000001</v>
      </c>
      <c r="I18" s="591">
        <v>3542966.7800000003</v>
      </c>
      <c r="J18" s="591">
        <v>582500.28</v>
      </c>
      <c r="K18" s="591">
        <v>0</v>
      </c>
      <c r="L18" s="591">
        <v>60056901.01000002</v>
      </c>
      <c r="M18" s="591">
        <v>6499139.5700000003</v>
      </c>
      <c r="N18" s="591">
        <v>1849376.3599999999</v>
      </c>
      <c r="O18" s="591">
        <v>3197252.76</v>
      </c>
      <c r="P18" s="591">
        <v>4574692.4399999985</v>
      </c>
      <c r="Q18" s="591">
        <v>3294142.3000000003</v>
      </c>
      <c r="R18" s="591">
        <v>804379.05</v>
      </c>
      <c r="S18" s="591">
        <v>0</v>
      </c>
      <c r="T18" s="591">
        <v>0</v>
      </c>
    </row>
    <row r="19" spans="1:20">
      <c r="A19" s="397" t="s">
        <v>663</v>
      </c>
      <c r="B19" s="397" t="s">
        <v>664</v>
      </c>
      <c r="C19" s="602">
        <v>885124706.33000112</v>
      </c>
      <c r="D19" s="591">
        <v>718493888.76999986</v>
      </c>
      <c r="E19" s="591">
        <v>12387366.089999994</v>
      </c>
      <c r="F19" s="591">
        <v>0</v>
      </c>
      <c r="G19" s="591">
        <v>109167807.77999987</v>
      </c>
      <c r="H19" s="591">
        <v>10241133.029999999</v>
      </c>
      <c r="I19" s="591">
        <v>2995204.77</v>
      </c>
      <c r="J19" s="591">
        <v>1016176.3700000001</v>
      </c>
      <c r="K19" s="591">
        <v>0</v>
      </c>
      <c r="L19" s="591">
        <v>57463009.780000001</v>
      </c>
      <c r="M19" s="591">
        <v>9467371.1899999995</v>
      </c>
      <c r="N19" s="591">
        <v>1371570.9599999997</v>
      </c>
      <c r="O19" s="591">
        <v>3426513.25</v>
      </c>
      <c r="P19" s="591">
        <v>3987008.63</v>
      </c>
      <c r="Q19" s="591">
        <v>3963004.5900000012</v>
      </c>
      <c r="R19" s="591">
        <v>842137.26</v>
      </c>
      <c r="S19" s="591">
        <v>0</v>
      </c>
      <c r="T19" s="591">
        <v>0</v>
      </c>
    </row>
    <row r="20" spans="1:20">
      <c r="A20" s="396" t="s">
        <v>665</v>
      </c>
      <c r="B20" s="396" t="s">
        <v>662</v>
      </c>
      <c r="C20" s="601">
        <v>801043479.13000178</v>
      </c>
      <c r="D20" s="591">
        <v>641148870.43000031</v>
      </c>
      <c r="E20" s="591">
        <v>10780370.019999998</v>
      </c>
      <c r="F20" s="591">
        <v>0</v>
      </c>
      <c r="G20" s="591">
        <v>105855345.03999989</v>
      </c>
      <c r="H20" s="591">
        <v>8540100.5</v>
      </c>
      <c r="I20" s="591">
        <v>2540006.29</v>
      </c>
      <c r="J20" s="591">
        <v>1016176.3700000001</v>
      </c>
      <c r="K20" s="591">
        <v>0</v>
      </c>
      <c r="L20" s="591">
        <v>54039263.659999989</v>
      </c>
      <c r="M20" s="591">
        <v>9264618.0600000024</v>
      </c>
      <c r="N20" s="591">
        <v>1120915.77</v>
      </c>
      <c r="O20" s="591">
        <v>2818372.6299999994</v>
      </c>
      <c r="P20" s="591">
        <v>3792528.13</v>
      </c>
      <c r="Q20" s="591">
        <v>3632031.47</v>
      </c>
      <c r="R20" s="591">
        <v>763129.76</v>
      </c>
      <c r="S20" s="591">
        <v>0</v>
      </c>
      <c r="T20" s="591">
        <v>0</v>
      </c>
    </row>
    <row r="21" spans="1:20">
      <c r="A21" s="398">
        <v>1.4</v>
      </c>
      <c r="B21" s="399" t="s">
        <v>666</v>
      </c>
      <c r="C21" s="603">
        <v>5430937.8719999995</v>
      </c>
      <c r="D21" s="591">
        <v>5404328.9839999992</v>
      </c>
      <c r="E21" s="591">
        <v>239704.45800000001</v>
      </c>
      <c r="F21" s="591">
        <v>0</v>
      </c>
      <c r="G21" s="591">
        <v>26608.887999999999</v>
      </c>
      <c r="H21" s="591">
        <v>0</v>
      </c>
      <c r="I21" s="591">
        <v>0</v>
      </c>
      <c r="J21" s="591">
        <v>0</v>
      </c>
      <c r="K21" s="591">
        <v>0</v>
      </c>
      <c r="L21" s="591">
        <v>0</v>
      </c>
      <c r="M21" s="591">
        <v>0</v>
      </c>
      <c r="N21" s="591">
        <v>0</v>
      </c>
      <c r="O21" s="591">
        <v>0</v>
      </c>
      <c r="P21" s="591">
        <v>0</v>
      </c>
      <c r="Q21" s="591">
        <v>0</v>
      </c>
      <c r="R21" s="591">
        <v>0</v>
      </c>
      <c r="S21" s="591">
        <v>0</v>
      </c>
      <c r="T21" s="591">
        <v>0</v>
      </c>
    </row>
    <row r="22" spans="1:20">
      <c r="A22" s="398">
        <v>1.5</v>
      </c>
      <c r="B22" s="399" t="s">
        <v>667</v>
      </c>
      <c r="C22" s="603">
        <v>0</v>
      </c>
      <c r="D22" s="591">
        <v>0</v>
      </c>
      <c r="E22" s="591">
        <v>0</v>
      </c>
      <c r="F22" s="591">
        <v>0</v>
      </c>
      <c r="G22" s="591">
        <v>0</v>
      </c>
      <c r="H22" s="591">
        <v>0</v>
      </c>
      <c r="I22" s="591">
        <v>0</v>
      </c>
      <c r="J22" s="591">
        <v>0</v>
      </c>
      <c r="K22" s="591">
        <v>0</v>
      </c>
      <c r="L22" s="591">
        <v>0</v>
      </c>
      <c r="M22" s="591">
        <v>0</v>
      </c>
      <c r="N22" s="591">
        <v>0</v>
      </c>
      <c r="O22" s="591">
        <v>0</v>
      </c>
      <c r="P22" s="591">
        <v>0</v>
      </c>
      <c r="Q22" s="591">
        <v>0</v>
      </c>
      <c r="R22" s="591">
        <v>0</v>
      </c>
      <c r="S22" s="591">
        <v>0</v>
      </c>
      <c r="T22" s="591">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85" zoomScaleNormal="85" workbookViewId="0">
      <selection activeCell="C7" sqref="C7:O32"/>
    </sheetView>
  </sheetViews>
  <sheetFormatPr defaultColWidth="9.140625" defaultRowHeight="12.75"/>
  <cols>
    <col min="1" max="1" width="11.85546875" style="383" bestFit="1" customWidth="1"/>
    <col min="2" max="2" width="93.42578125" style="383" customWidth="1"/>
    <col min="3" max="3" width="14.5703125" style="383" customWidth="1"/>
    <col min="4" max="4" width="14.5703125" style="383" bestFit="1" customWidth="1"/>
    <col min="5" max="5" width="13.85546875" style="383" bestFit="1" customWidth="1"/>
    <col min="6" max="6" width="13.7109375" style="419" bestFit="1" customWidth="1"/>
    <col min="7" max="7" width="12.5703125" style="419" bestFit="1" customWidth="1"/>
    <col min="8" max="8" width="12.140625" style="383" bestFit="1" customWidth="1"/>
    <col min="9" max="9" width="12.85546875" style="383" bestFit="1" customWidth="1"/>
    <col min="10" max="11" width="12.5703125" style="419" bestFit="1" customWidth="1"/>
    <col min="12" max="12" width="12.85546875" style="419" bestFit="1" customWidth="1"/>
    <col min="13" max="13" width="12.42578125" style="419" bestFit="1" customWidth="1"/>
    <col min="14" max="14" width="12.140625" style="419" bestFit="1" customWidth="1"/>
    <col min="15" max="15" width="18.85546875" style="383" bestFit="1" customWidth="1"/>
    <col min="16" max="16384" width="9.140625" style="383"/>
  </cols>
  <sheetData>
    <row r="1" spans="1:15">
      <c r="A1" s="375" t="s">
        <v>30</v>
      </c>
      <c r="F1" s="383"/>
      <c r="G1" s="383"/>
      <c r="J1" s="383"/>
      <c r="K1" s="383"/>
      <c r="L1" s="383"/>
      <c r="M1" s="383"/>
      <c r="N1" s="383"/>
    </row>
    <row r="2" spans="1:15" ht="13.5">
      <c r="A2" s="375" t="s">
        <v>31</v>
      </c>
      <c r="B2" s="408">
        <f>'1. key ratios '!B2</f>
        <v>44377</v>
      </c>
      <c r="F2" s="383"/>
      <c r="G2" s="383"/>
      <c r="J2" s="383"/>
      <c r="K2" s="383"/>
      <c r="L2" s="383"/>
      <c r="M2" s="383"/>
      <c r="N2" s="383"/>
    </row>
    <row r="3" spans="1:15">
      <c r="A3" s="376" t="s">
        <v>668</v>
      </c>
      <c r="F3" s="383"/>
      <c r="G3" s="383"/>
      <c r="J3" s="383"/>
      <c r="K3" s="383"/>
      <c r="L3" s="383"/>
      <c r="M3" s="383"/>
      <c r="N3" s="383"/>
    </row>
    <row r="4" spans="1:15">
      <c r="F4" s="383"/>
      <c r="G4" s="383"/>
      <c r="J4" s="383"/>
      <c r="K4" s="383"/>
      <c r="L4" s="383"/>
      <c r="M4" s="383"/>
      <c r="N4" s="383"/>
    </row>
    <row r="5" spans="1:15" ht="46.5" customHeight="1">
      <c r="A5" s="661" t="s">
        <v>694</v>
      </c>
      <c r="B5" s="662"/>
      <c r="C5" s="706" t="s">
        <v>669</v>
      </c>
      <c r="D5" s="707"/>
      <c r="E5" s="707"/>
      <c r="F5" s="707"/>
      <c r="G5" s="707"/>
      <c r="H5" s="708"/>
      <c r="I5" s="706" t="s">
        <v>670</v>
      </c>
      <c r="J5" s="709"/>
      <c r="K5" s="709"/>
      <c r="L5" s="709"/>
      <c r="M5" s="709"/>
      <c r="N5" s="710"/>
      <c r="O5" s="711" t="s">
        <v>671</v>
      </c>
    </row>
    <row r="6" spans="1:15" ht="75" customHeight="1">
      <c r="A6" s="665"/>
      <c r="B6" s="666"/>
      <c r="C6" s="400"/>
      <c r="D6" s="401" t="s">
        <v>672</v>
      </c>
      <c r="E6" s="401" t="s">
        <v>673</v>
      </c>
      <c r="F6" s="401" t="s">
        <v>674</v>
      </c>
      <c r="G6" s="401" t="s">
        <v>675</v>
      </c>
      <c r="H6" s="401" t="s">
        <v>676</v>
      </c>
      <c r="I6" s="406"/>
      <c r="J6" s="401" t="s">
        <v>672</v>
      </c>
      <c r="K6" s="401" t="s">
        <v>673</v>
      </c>
      <c r="L6" s="401" t="s">
        <v>674</v>
      </c>
      <c r="M6" s="401" t="s">
        <v>675</v>
      </c>
      <c r="N6" s="401" t="s">
        <v>676</v>
      </c>
      <c r="O6" s="712"/>
    </row>
    <row r="7" spans="1:15" ht="15">
      <c r="A7" s="380">
        <v>1</v>
      </c>
      <c r="B7" s="384" t="s">
        <v>697</v>
      </c>
      <c r="C7" s="604">
        <v>67406763.936600015</v>
      </c>
      <c r="D7" s="605">
        <v>61827059.282300003</v>
      </c>
      <c r="E7" s="605">
        <v>2195179.5171000003</v>
      </c>
      <c r="F7" s="605">
        <v>2620711.9869999997</v>
      </c>
      <c r="G7" s="605">
        <v>511501.22479999997</v>
      </c>
      <c r="H7" s="605">
        <v>252311.92539999998</v>
      </c>
      <c r="I7" s="606">
        <v>2750335.9603999997</v>
      </c>
      <c r="J7" s="605">
        <v>1236541.5763999999</v>
      </c>
      <c r="K7" s="605">
        <v>219518.05049999998</v>
      </c>
      <c r="L7" s="605">
        <v>786213.68819999998</v>
      </c>
      <c r="M7" s="605">
        <v>255750.71989999997</v>
      </c>
      <c r="N7" s="605">
        <v>252311.92539999998</v>
      </c>
      <c r="O7" s="605">
        <v>0</v>
      </c>
    </row>
    <row r="8" spans="1:15">
      <c r="A8" s="380">
        <v>2</v>
      </c>
      <c r="B8" s="384" t="s">
        <v>567</v>
      </c>
      <c r="C8" s="607">
        <v>30544756.832599998</v>
      </c>
      <c r="D8" s="590">
        <v>28828444.019899998</v>
      </c>
      <c r="E8" s="590">
        <v>776440.45310000004</v>
      </c>
      <c r="F8" s="608">
        <v>732716.18479999993</v>
      </c>
      <c r="G8" s="608">
        <v>70915.338099999994</v>
      </c>
      <c r="H8" s="590">
        <v>136240.83670000001</v>
      </c>
      <c r="I8" s="590">
        <v>1045660.3964999999</v>
      </c>
      <c r="J8" s="608">
        <v>576502.95369999995</v>
      </c>
      <c r="K8" s="608">
        <v>77644.067099999986</v>
      </c>
      <c r="L8" s="608">
        <v>219814.86489999999</v>
      </c>
      <c r="M8" s="608">
        <v>35457.674099999997</v>
      </c>
      <c r="N8" s="608">
        <v>136240.83670000001</v>
      </c>
      <c r="O8" s="590">
        <v>0</v>
      </c>
    </row>
    <row r="9" spans="1:15">
      <c r="A9" s="380">
        <v>3</v>
      </c>
      <c r="B9" s="384" t="s">
        <v>568</v>
      </c>
      <c r="C9" s="607">
        <v>23571335.349100001</v>
      </c>
      <c r="D9" s="590">
        <v>23492550.9663</v>
      </c>
      <c r="E9" s="590">
        <v>78784.382800000007</v>
      </c>
      <c r="F9" s="609">
        <v>0</v>
      </c>
      <c r="G9" s="609">
        <v>0</v>
      </c>
      <c r="H9" s="590">
        <v>0</v>
      </c>
      <c r="I9" s="590">
        <v>477729.46919999999</v>
      </c>
      <c r="J9" s="609">
        <v>469851.03090000001</v>
      </c>
      <c r="K9" s="609">
        <v>7878.4382999999998</v>
      </c>
      <c r="L9" s="609">
        <v>0</v>
      </c>
      <c r="M9" s="609">
        <v>0</v>
      </c>
      <c r="N9" s="609">
        <v>0</v>
      </c>
      <c r="O9" s="590">
        <v>0</v>
      </c>
    </row>
    <row r="10" spans="1:15">
      <c r="A10" s="380">
        <v>4</v>
      </c>
      <c r="B10" s="384" t="s">
        <v>698</v>
      </c>
      <c r="C10" s="607">
        <v>73776583.770799994</v>
      </c>
      <c r="D10" s="590">
        <v>62655113.504600011</v>
      </c>
      <c r="E10" s="590">
        <v>10939171.559</v>
      </c>
      <c r="F10" s="609">
        <v>182234.73050000001</v>
      </c>
      <c r="G10" s="609">
        <v>0</v>
      </c>
      <c r="H10" s="590">
        <v>63.976700000000001</v>
      </c>
      <c r="I10" s="590">
        <v>2401753.8572</v>
      </c>
      <c r="J10" s="609">
        <v>1253102.2564000001</v>
      </c>
      <c r="K10" s="609">
        <v>1093917.2175999999</v>
      </c>
      <c r="L10" s="609">
        <v>54670.406500000005</v>
      </c>
      <c r="M10" s="609">
        <v>0</v>
      </c>
      <c r="N10" s="609">
        <v>63.976700000000001</v>
      </c>
      <c r="O10" s="590">
        <v>0</v>
      </c>
    </row>
    <row r="11" spans="1:15">
      <c r="A11" s="380">
        <v>5</v>
      </c>
      <c r="B11" s="384" t="s">
        <v>569</v>
      </c>
      <c r="C11" s="607">
        <v>89396474.454000026</v>
      </c>
      <c r="D11" s="590">
        <v>55775567.176800013</v>
      </c>
      <c r="E11" s="590">
        <v>24540017.202799998</v>
      </c>
      <c r="F11" s="609">
        <v>6907397.8031000001</v>
      </c>
      <c r="G11" s="609">
        <v>2173141.7212999999</v>
      </c>
      <c r="H11" s="590">
        <v>350.55</v>
      </c>
      <c r="I11" s="590">
        <v>6728653.9593000002</v>
      </c>
      <c r="J11" s="609">
        <v>1115511.3715000001</v>
      </c>
      <c r="K11" s="609">
        <v>2454001.7659999998</v>
      </c>
      <c r="L11" s="609">
        <v>2072219.4061999999</v>
      </c>
      <c r="M11" s="609">
        <v>1086570.8656000001</v>
      </c>
      <c r="N11" s="609">
        <v>350.55</v>
      </c>
      <c r="O11" s="590">
        <v>0</v>
      </c>
    </row>
    <row r="12" spans="1:15">
      <c r="A12" s="380">
        <v>6</v>
      </c>
      <c r="B12" s="384" t="s">
        <v>570</v>
      </c>
      <c r="C12" s="607">
        <v>36018961.888800003</v>
      </c>
      <c r="D12" s="590">
        <v>31786507.114500001</v>
      </c>
      <c r="E12" s="590">
        <v>3350615.5157000003</v>
      </c>
      <c r="F12" s="609">
        <v>481262.83510000003</v>
      </c>
      <c r="G12" s="609">
        <v>373890.6335</v>
      </c>
      <c r="H12" s="590">
        <v>26685.79</v>
      </c>
      <c r="I12" s="590">
        <v>1328801.7195000001</v>
      </c>
      <c r="J12" s="609">
        <v>635730.15220000001</v>
      </c>
      <c r="K12" s="609">
        <v>335061.55650000001</v>
      </c>
      <c r="L12" s="609">
        <v>144378.8683</v>
      </c>
      <c r="M12" s="609">
        <v>186945.35250000001</v>
      </c>
      <c r="N12" s="609">
        <v>26685.79</v>
      </c>
      <c r="O12" s="590">
        <v>0</v>
      </c>
    </row>
    <row r="13" spans="1:15">
      <c r="A13" s="380">
        <v>7</v>
      </c>
      <c r="B13" s="384" t="s">
        <v>571</v>
      </c>
      <c r="C13" s="607">
        <v>38529851.911899999</v>
      </c>
      <c r="D13" s="590">
        <v>36989780.249200001</v>
      </c>
      <c r="E13" s="590">
        <v>1540071.6627000002</v>
      </c>
      <c r="F13" s="609">
        <v>0</v>
      </c>
      <c r="G13" s="609">
        <v>0</v>
      </c>
      <c r="H13" s="590">
        <v>0</v>
      </c>
      <c r="I13" s="590">
        <v>893802.81469999999</v>
      </c>
      <c r="J13" s="609">
        <v>739795.65260000003</v>
      </c>
      <c r="K13" s="609">
        <v>154007.16209999999</v>
      </c>
      <c r="L13" s="609">
        <v>0</v>
      </c>
      <c r="M13" s="609">
        <v>0</v>
      </c>
      <c r="N13" s="609">
        <v>0</v>
      </c>
      <c r="O13" s="590">
        <v>0</v>
      </c>
    </row>
    <row r="14" spans="1:15">
      <c r="A14" s="380">
        <v>8</v>
      </c>
      <c r="B14" s="384" t="s">
        <v>572</v>
      </c>
      <c r="C14" s="607">
        <v>56505113.443399996</v>
      </c>
      <c r="D14" s="590">
        <v>51986463.119999997</v>
      </c>
      <c r="E14" s="590">
        <v>2434551.4240000001</v>
      </c>
      <c r="F14" s="609">
        <v>1861490.3594</v>
      </c>
      <c r="G14" s="609">
        <v>171366.29</v>
      </c>
      <c r="H14" s="590">
        <v>51242.25</v>
      </c>
      <c r="I14" s="590">
        <v>1978556.9220999999</v>
      </c>
      <c r="J14" s="609">
        <v>1039729.3096</v>
      </c>
      <c r="K14" s="609">
        <v>243455.125</v>
      </c>
      <c r="L14" s="609">
        <v>558447.08749999991</v>
      </c>
      <c r="M14" s="609">
        <v>85683.15</v>
      </c>
      <c r="N14" s="609">
        <v>51242.25</v>
      </c>
      <c r="O14" s="590">
        <v>0</v>
      </c>
    </row>
    <row r="15" spans="1:15">
      <c r="A15" s="380">
        <v>9</v>
      </c>
      <c r="B15" s="384" t="s">
        <v>573</v>
      </c>
      <c r="C15" s="607">
        <v>28803410.736300003</v>
      </c>
      <c r="D15" s="590">
        <v>27003053.887500003</v>
      </c>
      <c r="E15" s="590">
        <v>1760356.8487999998</v>
      </c>
      <c r="F15" s="609">
        <v>0</v>
      </c>
      <c r="G15" s="609">
        <v>0</v>
      </c>
      <c r="H15" s="590">
        <v>40000</v>
      </c>
      <c r="I15" s="590">
        <v>756031.68140000012</v>
      </c>
      <c r="J15" s="609">
        <v>539995.99600000004</v>
      </c>
      <c r="K15" s="609">
        <v>176035.68540000002</v>
      </c>
      <c r="L15" s="609">
        <v>0</v>
      </c>
      <c r="M15" s="609">
        <v>0</v>
      </c>
      <c r="N15" s="609">
        <v>40000</v>
      </c>
      <c r="O15" s="590">
        <v>0</v>
      </c>
    </row>
    <row r="16" spans="1:15">
      <c r="A16" s="380">
        <v>10</v>
      </c>
      <c r="B16" s="384" t="s">
        <v>574</v>
      </c>
      <c r="C16" s="607">
        <v>11115049.013599999</v>
      </c>
      <c r="D16" s="590">
        <v>8925013.9747000001</v>
      </c>
      <c r="E16" s="590">
        <v>2110523.0888999999</v>
      </c>
      <c r="F16" s="609">
        <v>79511.95</v>
      </c>
      <c r="G16" s="609">
        <v>0</v>
      </c>
      <c r="H16" s="590">
        <v>0</v>
      </c>
      <c r="I16" s="590">
        <v>413406.19</v>
      </c>
      <c r="J16" s="609">
        <v>178500.27849999999</v>
      </c>
      <c r="K16" s="609">
        <v>211052.32149999999</v>
      </c>
      <c r="L16" s="609">
        <v>23853.59</v>
      </c>
      <c r="M16" s="609">
        <v>0</v>
      </c>
      <c r="N16" s="609">
        <v>0</v>
      </c>
      <c r="O16" s="590">
        <v>0</v>
      </c>
    </row>
    <row r="17" spans="1:15">
      <c r="A17" s="380">
        <v>11</v>
      </c>
      <c r="B17" s="384" t="s">
        <v>575</v>
      </c>
      <c r="C17" s="607">
        <v>7164139.4174999995</v>
      </c>
      <c r="D17" s="590">
        <v>4836527.4863</v>
      </c>
      <c r="E17" s="590">
        <v>970351.23190000001</v>
      </c>
      <c r="F17" s="609">
        <v>568315.12730000005</v>
      </c>
      <c r="G17" s="609">
        <v>788945.57200000004</v>
      </c>
      <c r="H17" s="590">
        <v>0</v>
      </c>
      <c r="I17" s="590">
        <v>758732.99230000004</v>
      </c>
      <c r="J17" s="609">
        <v>96730.549199999994</v>
      </c>
      <c r="K17" s="609">
        <v>97035.124100000001</v>
      </c>
      <c r="L17" s="609">
        <v>170494.53300000002</v>
      </c>
      <c r="M17" s="609">
        <v>394472.78600000002</v>
      </c>
      <c r="N17" s="609">
        <v>0</v>
      </c>
      <c r="O17" s="590">
        <v>0</v>
      </c>
    </row>
    <row r="18" spans="1:15">
      <c r="A18" s="380">
        <v>12</v>
      </c>
      <c r="B18" s="384" t="s">
        <v>576</v>
      </c>
      <c r="C18" s="607">
        <v>68192845.622799978</v>
      </c>
      <c r="D18" s="590">
        <v>48707028.322799996</v>
      </c>
      <c r="E18" s="590">
        <v>11773524.4013</v>
      </c>
      <c r="F18" s="609">
        <v>4474209.3637999995</v>
      </c>
      <c r="G18" s="609">
        <v>2991000.8388999999</v>
      </c>
      <c r="H18" s="590">
        <v>247082.696</v>
      </c>
      <c r="I18" s="590">
        <v>5236339.2642999999</v>
      </c>
      <c r="J18" s="609">
        <v>974140.44400000013</v>
      </c>
      <c r="K18" s="609">
        <v>1177352.6488999999</v>
      </c>
      <c r="L18" s="609">
        <v>1342262.8913</v>
      </c>
      <c r="M18" s="609">
        <v>1495500.5841000001</v>
      </c>
      <c r="N18" s="609">
        <v>247082.696</v>
      </c>
      <c r="O18" s="590">
        <v>0</v>
      </c>
    </row>
    <row r="19" spans="1:15">
      <c r="A19" s="380">
        <v>13</v>
      </c>
      <c r="B19" s="384" t="s">
        <v>577</v>
      </c>
      <c r="C19" s="607">
        <v>19271746.554000001</v>
      </c>
      <c r="D19" s="590">
        <v>16707074.545</v>
      </c>
      <c r="E19" s="590">
        <v>1745226.0858</v>
      </c>
      <c r="F19" s="609">
        <v>262644.39</v>
      </c>
      <c r="G19" s="609">
        <v>536937.14320000005</v>
      </c>
      <c r="H19" s="590">
        <v>19864.39</v>
      </c>
      <c r="I19" s="590">
        <v>875790.34400000004</v>
      </c>
      <c r="J19" s="609">
        <v>334141.41279999999</v>
      </c>
      <c r="K19" s="609">
        <v>174522.61800000002</v>
      </c>
      <c r="L19" s="609">
        <v>78793.319999999992</v>
      </c>
      <c r="M19" s="609">
        <v>268468.60320000001</v>
      </c>
      <c r="N19" s="609">
        <v>19864.39</v>
      </c>
      <c r="O19" s="590">
        <v>0</v>
      </c>
    </row>
    <row r="20" spans="1:15">
      <c r="A20" s="380">
        <v>14</v>
      </c>
      <c r="B20" s="384" t="s">
        <v>578</v>
      </c>
      <c r="C20" s="607">
        <v>87459167.824700013</v>
      </c>
      <c r="D20" s="590">
        <v>53105966.4067</v>
      </c>
      <c r="E20" s="590">
        <v>27806655.353800002</v>
      </c>
      <c r="F20" s="609">
        <v>5188279.3900999995</v>
      </c>
      <c r="G20" s="609">
        <v>1349127.4941</v>
      </c>
      <c r="H20" s="590">
        <v>9139.18</v>
      </c>
      <c r="I20" s="590">
        <v>6081116.8170999987</v>
      </c>
      <c r="J20" s="609">
        <v>1060264.3444000001</v>
      </c>
      <c r="K20" s="609">
        <v>2780665.5861999998</v>
      </c>
      <c r="L20" s="609">
        <v>1556483.9086000002</v>
      </c>
      <c r="M20" s="609">
        <v>674563.79790000001</v>
      </c>
      <c r="N20" s="609">
        <v>9139.18</v>
      </c>
      <c r="O20" s="590">
        <v>0</v>
      </c>
    </row>
    <row r="21" spans="1:15">
      <c r="A21" s="380">
        <v>15</v>
      </c>
      <c r="B21" s="384" t="s">
        <v>579</v>
      </c>
      <c r="C21" s="607">
        <v>38421583.089100003</v>
      </c>
      <c r="D21" s="590">
        <v>15874771.8002</v>
      </c>
      <c r="E21" s="590">
        <v>18045365.243899997</v>
      </c>
      <c r="F21" s="609">
        <v>4490156.8049999997</v>
      </c>
      <c r="G21" s="609">
        <v>289.24</v>
      </c>
      <c r="H21" s="590">
        <v>11000</v>
      </c>
      <c r="I21" s="590">
        <v>3480223.6721000001</v>
      </c>
      <c r="J21" s="609">
        <v>317495.4903</v>
      </c>
      <c r="K21" s="609">
        <v>1804536.4997000003</v>
      </c>
      <c r="L21" s="609">
        <v>1347047.0621</v>
      </c>
      <c r="M21" s="609">
        <v>144.62</v>
      </c>
      <c r="N21" s="609">
        <v>11000</v>
      </c>
      <c r="O21" s="590">
        <v>0</v>
      </c>
    </row>
    <row r="22" spans="1:15">
      <c r="A22" s="380">
        <v>16</v>
      </c>
      <c r="B22" s="384" t="s">
        <v>580</v>
      </c>
      <c r="C22" s="607">
        <v>1043882.826</v>
      </c>
      <c r="D22" s="590">
        <v>1043882.826</v>
      </c>
      <c r="E22" s="590">
        <v>0</v>
      </c>
      <c r="F22" s="609">
        <v>0</v>
      </c>
      <c r="G22" s="609">
        <v>0</v>
      </c>
      <c r="H22" s="590">
        <v>0</v>
      </c>
      <c r="I22" s="590">
        <v>20877.659800000001</v>
      </c>
      <c r="J22" s="609">
        <v>20877.659800000001</v>
      </c>
      <c r="K22" s="609">
        <v>0</v>
      </c>
      <c r="L22" s="609">
        <v>0</v>
      </c>
      <c r="M22" s="609">
        <v>0</v>
      </c>
      <c r="N22" s="609">
        <v>0</v>
      </c>
      <c r="O22" s="590">
        <v>0</v>
      </c>
    </row>
    <row r="23" spans="1:15">
      <c r="A23" s="380">
        <v>17</v>
      </c>
      <c r="B23" s="384" t="s">
        <v>701</v>
      </c>
      <c r="C23" s="607">
        <v>5234308.1136999996</v>
      </c>
      <c r="D23" s="590">
        <v>1911570.7045</v>
      </c>
      <c r="E23" s="590">
        <v>1374512.0400999999</v>
      </c>
      <c r="F23" s="609">
        <v>1543394.6990999999</v>
      </c>
      <c r="G23" s="609">
        <v>404830.67</v>
      </c>
      <c r="H23" s="590">
        <v>0</v>
      </c>
      <c r="I23" s="590">
        <v>841116.3557999999</v>
      </c>
      <c r="J23" s="609">
        <v>38231.431500000006</v>
      </c>
      <c r="K23" s="609">
        <v>137451.17539999998</v>
      </c>
      <c r="L23" s="609">
        <v>463018.40889999998</v>
      </c>
      <c r="M23" s="609">
        <v>202415.34</v>
      </c>
      <c r="N23" s="609">
        <v>0</v>
      </c>
      <c r="O23" s="590">
        <v>0</v>
      </c>
    </row>
    <row r="24" spans="1:15">
      <c r="A24" s="380">
        <v>18</v>
      </c>
      <c r="B24" s="384" t="s">
        <v>581</v>
      </c>
      <c r="C24" s="607">
        <v>20598855.308400005</v>
      </c>
      <c r="D24" s="590">
        <v>20551507.848400004</v>
      </c>
      <c r="E24" s="590">
        <v>1502.71</v>
      </c>
      <c r="F24" s="609">
        <v>45844.75</v>
      </c>
      <c r="G24" s="609">
        <v>0</v>
      </c>
      <c r="H24" s="590">
        <v>0</v>
      </c>
      <c r="I24" s="590">
        <v>424933.86969999998</v>
      </c>
      <c r="J24" s="609">
        <v>411030.16969999997</v>
      </c>
      <c r="K24" s="609">
        <v>150.27000000000001</v>
      </c>
      <c r="L24" s="609">
        <v>13753.43</v>
      </c>
      <c r="M24" s="609">
        <v>0</v>
      </c>
      <c r="N24" s="609">
        <v>0</v>
      </c>
      <c r="O24" s="590">
        <v>0</v>
      </c>
    </row>
    <row r="25" spans="1:15">
      <c r="A25" s="380">
        <v>19</v>
      </c>
      <c r="B25" s="384" t="s">
        <v>582</v>
      </c>
      <c r="C25" s="607">
        <v>6801744.5782000003</v>
      </c>
      <c r="D25" s="590">
        <v>6765109.9824999999</v>
      </c>
      <c r="E25" s="590">
        <v>0</v>
      </c>
      <c r="F25" s="609">
        <v>7023.28</v>
      </c>
      <c r="G25" s="609">
        <v>29611.315699999999</v>
      </c>
      <c r="H25" s="590">
        <v>0</v>
      </c>
      <c r="I25" s="590">
        <v>152214.8033</v>
      </c>
      <c r="J25" s="609">
        <v>135302.1654</v>
      </c>
      <c r="K25" s="609">
        <v>0</v>
      </c>
      <c r="L25" s="609">
        <v>2106.98</v>
      </c>
      <c r="M25" s="609">
        <v>14805.6579</v>
      </c>
      <c r="N25" s="609">
        <v>0</v>
      </c>
      <c r="O25" s="590">
        <v>0</v>
      </c>
    </row>
    <row r="26" spans="1:15">
      <c r="A26" s="380">
        <v>20</v>
      </c>
      <c r="B26" s="384" t="s">
        <v>700</v>
      </c>
      <c r="C26" s="607">
        <v>26684784.397700004</v>
      </c>
      <c r="D26" s="590">
        <v>23003628.598900001</v>
      </c>
      <c r="E26" s="590">
        <v>2968959.5279000001</v>
      </c>
      <c r="F26" s="609">
        <v>276794.42</v>
      </c>
      <c r="G26" s="609">
        <v>365672.98089999997</v>
      </c>
      <c r="H26" s="590">
        <v>69728.87</v>
      </c>
      <c r="I26" s="590">
        <v>1092572.3130999999</v>
      </c>
      <c r="J26" s="609">
        <v>460072.60109999997</v>
      </c>
      <c r="K26" s="609">
        <v>296895.98569999996</v>
      </c>
      <c r="L26" s="609">
        <v>83038.34</v>
      </c>
      <c r="M26" s="609">
        <v>182836.51630000002</v>
      </c>
      <c r="N26" s="609">
        <v>69728.87</v>
      </c>
      <c r="O26" s="590">
        <v>0</v>
      </c>
    </row>
    <row r="27" spans="1:15">
      <c r="A27" s="380">
        <v>21</v>
      </c>
      <c r="B27" s="384" t="s">
        <v>583</v>
      </c>
      <c r="C27" s="607">
        <v>3194225.2366999998</v>
      </c>
      <c r="D27" s="590">
        <v>3037526.3267000001</v>
      </c>
      <c r="E27" s="590">
        <v>77950.11</v>
      </c>
      <c r="F27" s="609">
        <v>31036.25</v>
      </c>
      <c r="G27" s="609">
        <v>0</v>
      </c>
      <c r="H27" s="590">
        <v>47712.55</v>
      </c>
      <c r="I27" s="590">
        <v>125568.9952</v>
      </c>
      <c r="J27" s="609">
        <v>60750.555200000003</v>
      </c>
      <c r="K27" s="609">
        <v>7795.02</v>
      </c>
      <c r="L27" s="609">
        <v>9310.8700000000008</v>
      </c>
      <c r="M27" s="609">
        <v>0</v>
      </c>
      <c r="N27" s="609">
        <v>47712.55</v>
      </c>
      <c r="O27" s="590">
        <v>0</v>
      </c>
    </row>
    <row r="28" spans="1:15">
      <c r="A28" s="380">
        <v>22</v>
      </c>
      <c r="B28" s="384" t="s">
        <v>584</v>
      </c>
      <c r="C28" s="607">
        <v>1886793.1112999998</v>
      </c>
      <c r="D28" s="590">
        <v>1040219.5003</v>
      </c>
      <c r="E28" s="590">
        <v>796542.41399999999</v>
      </c>
      <c r="F28" s="609">
        <v>13443.537</v>
      </c>
      <c r="G28" s="609">
        <v>0</v>
      </c>
      <c r="H28" s="590">
        <v>36587.660000000003</v>
      </c>
      <c r="I28" s="590">
        <v>141079.32889999999</v>
      </c>
      <c r="J28" s="609">
        <v>20804.381899999997</v>
      </c>
      <c r="K28" s="609">
        <v>79654.238599999997</v>
      </c>
      <c r="L28" s="609">
        <v>4033.0484000000001</v>
      </c>
      <c r="M28" s="609">
        <v>0</v>
      </c>
      <c r="N28" s="609">
        <v>36587.660000000003</v>
      </c>
      <c r="O28" s="590">
        <v>0</v>
      </c>
    </row>
    <row r="29" spans="1:15">
      <c r="A29" s="380">
        <v>23</v>
      </c>
      <c r="B29" s="384" t="s">
        <v>585</v>
      </c>
      <c r="C29" s="607">
        <v>66375216.502400003</v>
      </c>
      <c r="D29" s="590">
        <v>48537861.470799997</v>
      </c>
      <c r="E29" s="590">
        <v>8100456.9425000008</v>
      </c>
      <c r="F29" s="609">
        <v>6684411.0904000001</v>
      </c>
      <c r="G29" s="609">
        <v>2744905.5981000001</v>
      </c>
      <c r="H29" s="590">
        <v>307581.40059999999</v>
      </c>
      <c r="I29" s="590">
        <v>5466160.8033999996</v>
      </c>
      <c r="J29" s="609">
        <v>970757.29689999996</v>
      </c>
      <c r="K29" s="609">
        <v>810045.77859999996</v>
      </c>
      <c r="L29" s="609">
        <v>2005323.4358000001</v>
      </c>
      <c r="M29" s="609">
        <v>1372452.8914999997</v>
      </c>
      <c r="N29" s="609">
        <v>307581.40059999999</v>
      </c>
      <c r="O29" s="590">
        <v>0</v>
      </c>
    </row>
    <row r="30" spans="1:15">
      <c r="A30" s="380">
        <v>24</v>
      </c>
      <c r="B30" s="384" t="s">
        <v>699</v>
      </c>
      <c r="C30" s="607">
        <v>71664968.794300005</v>
      </c>
      <c r="D30" s="590">
        <v>60605701.729000002</v>
      </c>
      <c r="E30" s="590">
        <v>4598392.5733000003</v>
      </c>
      <c r="F30" s="609">
        <v>4600118.570199999</v>
      </c>
      <c r="G30" s="609">
        <v>1830945.0818</v>
      </c>
      <c r="H30" s="590">
        <v>29810.84</v>
      </c>
      <c r="I30" s="590">
        <v>3992684.4750999995</v>
      </c>
      <c r="J30" s="609">
        <v>1207526.1642</v>
      </c>
      <c r="K30" s="609">
        <v>459839.32419999992</v>
      </c>
      <c r="L30" s="609">
        <v>1380035.5758</v>
      </c>
      <c r="M30" s="609">
        <v>915472.57089999993</v>
      </c>
      <c r="N30" s="609">
        <v>29810.84</v>
      </c>
      <c r="O30" s="590">
        <v>0</v>
      </c>
    </row>
    <row r="31" spans="1:15">
      <c r="A31" s="380">
        <v>25</v>
      </c>
      <c r="B31" s="384" t="s">
        <v>586</v>
      </c>
      <c r="C31" s="607">
        <v>52918006.853300013</v>
      </c>
      <c r="D31" s="590">
        <v>47071125.277600005</v>
      </c>
      <c r="E31" s="590">
        <v>930643.74179999996</v>
      </c>
      <c r="F31" s="609">
        <v>4068548.1427000007</v>
      </c>
      <c r="G31" s="609">
        <v>658180.77340000006</v>
      </c>
      <c r="H31" s="590">
        <v>189508.9178</v>
      </c>
      <c r="I31" s="590">
        <v>2509897.4214999997</v>
      </c>
      <c r="J31" s="609">
        <v>677669.13769999985</v>
      </c>
      <c r="K31" s="609">
        <v>93064.414799999999</v>
      </c>
      <c r="L31" s="609">
        <v>1220564.4937</v>
      </c>
      <c r="M31" s="609">
        <v>329090.45750000002</v>
      </c>
      <c r="N31" s="609">
        <v>189508.9178</v>
      </c>
      <c r="O31" s="590">
        <v>0</v>
      </c>
    </row>
    <row r="32" spans="1:15">
      <c r="A32" s="380">
        <v>26</v>
      </c>
      <c r="B32" s="384" t="s">
        <v>696</v>
      </c>
      <c r="C32" s="607">
        <v>17386816.238600031</v>
      </c>
      <c r="D32" s="590">
        <v>12028660.079400033</v>
      </c>
      <c r="E32" s="590">
        <v>2222997.9862000011</v>
      </c>
      <c r="F32" s="609">
        <v>1809923.3228999991</v>
      </c>
      <c r="G32" s="609">
        <v>1176917.1550000003</v>
      </c>
      <c r="H32" s="590">
        <v>148317.69510000013</v>
      </c>
      <c r="I32" s="590">
        <v>1742711.1649000004</v>
      </c>
      <c r="J32" s="609">
        <v>240498.82160000084</v>
      </c>
      <c r="K32" s="609">
        <v>222299.91509999998</v>
      </c>
      <c r="L32" s="609">
        <v>542977.04559999937</v>
      </c>
      <c r="M32" s="609">
        <v>588458.68750000012</v>
      </c>
      <c r="N32" s="609">
        <v>148476.69510000013</v>
      </c>
      <c r="O32" s="590">
        <v>0</v>
      </c>
    </row>
    <row r="33" spans="1:15">
      <c r="A33" s="380">
        <v>27</v>
      </c>
      <c r="B33" s="402" t="s">
        <v>109</v>
      </c>
      <c r="C33" s="610">
        <v>949967385.80580008</v>
      </c>
      <c r="D33" s="589">
        <v>754097716.20090008</v>
      </c>
      <c r="E33" s="589">
        <v>131138792.01739998</v>
      </c>
      <c r="F33" s="611">
        <v>46929468.988399997</v>
      </c>
      <c r="G33" s="611">
        <v>16178179.070800003</v>
      </c>
      <c r="H33" s="589">
        <v>1623229.5283000004</v>
      </c>
      <c r="I33" s="612">
        <v>51716753.250800006</v>
      </c>
      <c r="J33" s="611">
        <v>14811553.203500003</v>
      </c>
      <c r="K33" s="611">
        <v>13113879.9893</v>
      </c>
      <c r="L33" s="611">
        <v>14078841.254799997</v>
      </c>
      <c r="M33" s="611">
        <v>8089090.2748999987</v>
      </c>
      <c r="N33" s="611">
        <v>1623388.5283000004</v>
      </c>
      <c r="O33" s="589">
        <v>1621297.71</v>
      </c>
    </row>
    <row r="35" spans="1:15">
      <c r="B35" s="417"/>
      <c r="C35" s="417"/>
    </row>
    <row r="41" spans="1:15">
      <c r="A41" s="414"/>
      <c r="B41" s="414"/>
      <c r="C41" s="414"/>
    </row>
    <row r="42" spans="1:15">
      <c r="A42" s="414"/>
      <c r="B42" s="414"/>
      <c r="C42" s="41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A5" sqref="A5:B5"/>
    </sheetView>
  </sheetViews>
  <sheetFormatPr defaultColWidth="8.7109375" defaultRowHeight="12"/>
  <cols>
    <col min="1" max="1" width="11.85546875" style="425" bestFit="1" customWidth="1"/>
    <col min="2" max="2" width="80.140625" style="425" customWidth="1"/>
    <col min="3" max="3" width="17.140625" style="425" bestFit="1" customWidth="1"/>
    <col min="4" max="4" width="22.42578125" style="425" bestFit="1" customWidth="1"/>
    <col min="5" max="5" width="22.28515625" style="425" bestFit="1" customWidth="1"/>
    <col min="6" max="6" width="20.140625" style="425" bestFit="1" customWidth="1"/>
    <col min="7" max="7" width="20.85546875" style="425" bestFit="1" customWidth="1"/>
    <col min="8" max="8" width="23.42578125" style="425" bestFit="1" customWidth="1"/>
    <col min="9" max="9" width="22.140625" style="425" customWidth="1"/>
    <col min="10" max="10" width="19.140625" style="425" bestFit="1" customWidth="1"/>
    <col min="11" max="11" width="17.85546875" style="425" bestFit="1" customWidth="1"/>
    <col min="12" max="16384" width="8.7109375" style="425"/>
  </cols>
  <sheetData>
    <row r="1" spans="1:11" s="383" customFormat="1" ht="12.75">
      <c r="A1" s="375" t="s">
        <v>30</v>
      </c>
    </row>
    <row r="2" spans="1:11" s="383" customFormat="1" ht="13.5">
      <c r="A2" s="375" t="s">
        <v>31</v>
      </c>
      <c r="B2" s="408">
        <f>'1. key ratios '!B2</f>
        <v>44377</v>
      </c>
    </row>
    <row r="3" spans="1:11" s="383" customFormat="1" ht="12.75">
      <c r="A3" s="376" t="s">
        <v>677</v>
      </c>
    </row>
    <row r="4" spans="1:11">
      <c r="C4" s="426" t="s">
        <v>0</v>
      </c>
      <c r="D4" s="426" t="s">
        <v>1</v>
      </c>
      <c r="E4" s="426" t="s">
        <v>2</v>
      </c>
      <c r="F4" s="426" t="s">
        <v>3</v>
      </c>
      <c r="G4" s="426" t="s">
        <v>4</v>
      </c>
      <c r="H4" s="426" t="s">
        <v>5</v>
      </c>
      <c r="I4" s="426" t="s">
        <v>8</v>
      </c>
      <c r="J4" s="426" t="s">
        <v>9</v>
      </c>
      <c r="K4" s="426" t="s">
        <v>10</v>
      </c>
    </row>
    <row r="5" spans="1:11" ht="105" customHeight="1">
      <c r="A5" s="713" t="s">
        <v>678</v>
      </c>
      <c r="B5" s="714"/>
      <c r="C5" s="405" t="s">
        <v>679</v>
      </c>
      <c r="D5" s="405" t="s">
        <v>680</v>
      </c>
      <c r="E5" s="405" t="s">
        <v>681</v>
      </c>
      <c r="F5" s="427" t="s">
        <v>682</v>
      </c>
      <c r="G5" s="405" t="s">
        <v>683</v>
      </c>
      <c r="H5" s="405" t="s">
        <v>684</v>
      </c>
      <c r="I5" s="405" t="s">
        <v>685</v>
      </c>
      <c r="J5" s="405" t="s">
        <v>686</v>
      </c>
      <c r="K5" s="405" t="s">
        <v>687</v>
      </c>
    </row>
    <row r="6" spans="1:11" ht="12.75">
      <c r="A6" s="380">
        <v>1</v>
      </c>
      <c r="B6" s="380" t="s">
        <v>633</v>
      </c>
      <c r="C6" s="590">
        <v>28657642.410000004</v>
      </c>
      <c r="D6" s="590">
        <v>4637315.6680000005</v>
      </c>
      <c r="E6" s="590">
        <v>0</v>
      </c>
      <c r="F6" s="590">
        <v>6657591.7800000003</v>
      </c>
      <c r="G6" s="590">
        <v>811236792.91000044</v>
      </c>
      <c r="H6" s="590">
        <v>0</v>
      </c>
      <c r="I6" s="590">
        <v>46899576.99000001</v>
      </c>
      <c r="J6" s="590">
        <v>13865489.529999999</v>
      </c>
      <c r="K6" s="590">
        <v>38012976.831998348</v>
      </c>
    </row>
    <row r="7" spans="1:11" ht="12.75">
      <c r="A7" s="380">
        <v>2</v>
      </c>
      <c r="B7" s="380" t="s">
        <v>688</v>
      </c>
      <c r="C7" s="590">
        <v>0</v>
      </c>
      <c r="D7" s="590">
        <v>0</v>
      </c>
      <c r="E7" s="590">
        <v>0</v>
      </c>
      <c r="F7" s="590">
        <v>0</v>
      </c>
      <c r="G7" s="590">
        <v>0</v>
      </c>
      <c r="H7" s="590">
        <v>0</v>
      </c>
      <c r="I7" s="590">
        <v>0</v>
      </c>
      <c r="J7" s="590">
        <v>0</v>
      </c>
      <c r="K7" s="590">
        <v>5000000</v>
      </c>
    </row>
    <row r="8" spans="1:11" ht="12.75">
      <c r="A8" s="380">
        <v>3</v>
      </c>
      <c r="B8" s="380" t="s">
        <v>641</v>
      </c>
      <c r="C8" s="590">
        <v>21000085.02</v>
      </c>
      <c r="D8" s="590">
        <v>0</v>
      </c>
      <c r="E8" s="590">
        <v>0</v>
      </c>
      <c r="F8" s="590">
        <v>0</v>
      </c>
      <c r="G8" s="590">
        <v>13448238.379999999</v>
      </c>
      <c r="H8" s="590">
        <v>0</v>
      </c>
      <c r="I8" s="590">
        <v>2349053.63</v>
      </c>
      <c r="J8" s="590">
        <v>15333384.069999998</v>
      </c>
      <c r="K8" s="590">
        <v>22372366.230199955</v>
      </c>
    </row>
    <row r="9" spans="1:11" ht="12.75">
      <c r="A9" s="380">
        <v>4</v>
      </c>
      <c r="B9" s="403" t="s">
        <v>689</v>
      </c>
      <c r="C9" s="590">
        <v>263272.51</v>
      </c>
      <c r="D9" s="590">
        <v>0</v>
      </c>
      <c r="E9" s="590">
        <v>0</v>
      </c>
      <c r="F9" s="590">
        <v>0</v>
      </c>
      <c r="G9" s="590">
        <v>60056901.009999953</v>
      </c>
      <c r="H9" s="590">
        <v>0</v>
      </c>
      <c r="I9" s="590">
        <v>1397694.33</v>
      </c>
      <c r="J9" s="590">
        <v>779933.27000000014</v>
      </c>
      <c r="K9" s="590">
        <v>2233076.7699979842</v>
      </c>
    </row>
    <row r="10" spans="1:11" ht="12.75">
      <c r="A10" s="380">
        <v>5</v>
      </c>
      <c r="B10" s="403" t="s">
        <v>690</v>
      </c>
      <c r="C10" s="590">
        <v>0</v>
      </c>
      <c r="D10" s="590">
        <v>0</v>
      </c>
      <c r="E10" s="590">
        <v>0</v>
      </c>
      <c r="F10" s="590">
        <v>0</v>
      </c>
      <c r="G10" s="590">
        <v>0</v>
      </c>
      <c r="H10" s="590">
        <v>0</v>
      </c>
      <c r="I10" s="590">
        <v>0</v>
      </c>
      <c r="J10" s="590">
        <v>0</v>
      </c>
      <c r="K10" s="590">
        <v>0</v>
      </c>
    </row>
    <row r="11" spans="1:11" ht="12.75">
      <c r="A11" s="380">
        <v>6</v>
      </c>
      <c r="B11" s="403" t="s">
        <v>691</v>
      </c>
      <c r="C11" s="590">
        <v>7500</v>
      </c>
      <c r="D11" s="590">
        <v>0</v>
      </c>
      <c r="E11" s="590">
        <v>0</v>
      </c>
      <c r="F11" s="590">
        <v>0</v>
      </c>
      <c r="G11" s="590">
        <v>38000</v>
      </c>
      <c r="H11" s="590">
        <v>0</v>
      </c>
      <c r="I11" s="590">
        <v>0</v>
      </c>
      <c r="J11" s="590">
        <v>0</v>
      </c>
      <c r="K11" s="590">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24" activePane="bottomRight" state="frozen"/>
      <selection activeCell="B9" sqref="B9"/>
      <selection pane="topRight" activeCell="B9" sqref="B9"/>
      <selection pane="bottomLeft" activeCell="B9" sqref="B9"/>
      <selection pane="bottomRight" activeCell="F38" sqref="F38"/>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Terabank</v>
      </c>
    </row>
    <row r="2" spans="1:8">
      <c r="A2" s="2" t="s">
        <v>31</v>
      </c>
      <c r="B2" s="340">
        <v>44377</v>
      </c>
    </row>
    <row r="3" spans="1:8">
      <c r="A3" s="2"/>
    </row>
    <row r="4" spans="1:8" ht="15" thickBot="1">
      <c r="A4" s="3" t="s">
        <v>32</v>
      </c>
      <c r="B4" s="13" t="s">
        <v>33</v>
      </c>
      <c r="C4" s="3"/>
      <c r="D4" s="14"/>
      <c r="E4" s="14"/>
      <c r="F4" s="15"/>
      <c r="G4" s="15"/>
      <c r="H4" s="16" t="s">
        <v>73</v>
      </c>
    </row>
    <row r="5" spans="1:8">
      <c r="A5" s="17"/>
      <c r="B5" s="18"/>
      <c r="C5" s="615" t="s">
        <v>68</v>
      </c>
      <c r="D5" s="616"/>
      <c r="E5" s="617"/>
      <c r="F5" s="615" t="s">
        <v>72</v>
      </c>
      <c r="G5" s="616"/>
      <c r="H5" s="618"/>
    </row>
    <row r="6" spans="1:8">
      <c r="A6" s="19" t="s">
        <v>6</v>
      </c>
      <c r="B6" s="20" t="s">
        <v>34</v>
      </c>
      <c r="C6" s="21" t="s">
        <v>69</v>
      </c>
      <c r="D6" s="21" t="s">
        <v>70</v>
      </c>
      <c r="E6" s="21" t="s">
        <v>71</v>
      </c>
      <c r="F6" s="21" t="s">
        <v>69</v>
      </c>
      <c r="G6" s="21" t="s">
        <v>70</v>
      </c>
      <c r="H6" s="22" t="s">
        <v>71</v>
      </c>
    </row>
    <row r="7" spans="1:8" ht="15.75">
      <c r="A7" s="19">
        <v>1</v>
      </c>
      <c r="B7" s="23" t="s">
        <v>35</v>
      </c>
      <c r="C7" s="460">
        <v>14721331.999999998</v>
      </c>
      <c r="D7" s="460">
        <v>28645640.600000016</v>
      </c>
      <c r="E7" s="461">
        <f>C7+D7</f>
        <v>43366972.600000016</v>
      </c>
      <c r="F7" s="460">
        <v>15585826.769999998</v>
      </c>
      <c r="G7" s="460">
        <v>18397466.18</v>
      </c>
      <c r="H7" s="462">
        <f>F7+G7</f>
        <v>33983292.949999996</v>
      </c>
    </row>
    <row r="8" spans="1:8" ht="15.75">
      <c r="A8" s="19">
        <v>2</v>
      </c>
      <c r="B8" s="23" t="s">
        <v>36</v>
      </c>
      <c r="C8" s="460">
        <v>20637660.879999999</v>
      </c>
      <c r="D8" s="460">
        <v>152072001.21000001</v>
      </c>
      <c r="E8" s="461">
        <f t="shared" ref="E8:E20" si="0">C8+D8</f>
        <v>172709662.09</v>
      </c>
      <c r="F8" s="460">
        <v>8376061.2599999998</v>
      </c>
      <c r="G8" s="460">
        <v>117018790.76000001</v>
      </c>
      <c r="H8" s="462">
        <f t="shared" ref="H8:H40" si="1">F8+G8</f>
        <v>125394852.02000001</v>
      </c>
    </row>
    <row r="9" spans="1:8" ht="15.75">
      <c r="A9" s="19">
        <v>3</v>
      </c>
      <c r="B9" s="23" t="s">
        <v>37</v>
      </c>
      <c r="C9" s="460">
        <v>307370.71999999997</v>
      </c>
      <c r="D9" s="460">
        <v>22876898.920000002</v>
      </c>
      <c r="E9" s="461">
        <f t="shared" si="0"/>
        <v>23184269.640000001</v>
      </c>
      <c r="F9" s="460">
        <v>152396.12</v>
      </c>
      <c r="G9" s="460">
        <v>29328889.02</v>
      </c>
      <c r="H9" s="462">
        <f t="shared" si="1"/>
        <v>29481285.140000001</v>
      </c>
    </row>
    <row r="10" spans="1:8" ht="15.75">
      <c r="A10" s="19">
        <v>4</v>
      </c>
      <c r="B10" s="23" t="s">
        <v>38</v>
      </c>
      <c r="C10" s="460">
        <v>0</v>
      </c>
      <c r="D10" s="460">
        <v>0</v>
      </c>
      <c r="E10" s="460">
        <v>0</v>
      </c>
      <c r="F10" s="460">
        <v>0</v>
      </c>
      <c r="G10" s="460">
        <v>0</v>
      </c>
      <c r="H10" s="462">
        <f t="shared" si="1"/>
        <v>0</v>
      </c>
    </row>
    <row r="11" spans="1:8" ht="15.75">
      <c r="A11" s="19">
        <v>5</v>
      </c>
      <c r="B11" s="23" t="s">
        <v>39</v>
      </c>
      <c r="C11" s="460">
        <v>122129070.13</v>
      </c>
      <c r="D11" s="460">
        <v>0</v>
      </c>
      <c r="E11" s="461">
        <f t="shared" si="0"/>
        <v>122129070.13</v>
      </c>
      <c r="F11" s="460">
        <v>81275060.280000001</v>
      </c>
      <c r="G11" s="460">
        <v>0</v>
      </c>
      <c r="H11" s="462">
        <f t="shared" si="1"/>
        <v>81275060.280000001</v>
      </c>
    </row>
    <row r="12" spans="1:8" ht="15.75">
      <c r="A12" s="19">
        <v>6.1</v>
      </c>
      <c r="B12" s="24" t="s">
        <v>40</v>
      </c>
      <c r="C12" s="460">
        <v>384554294.04999816</v>
      </c>
      <c r="D12" s="460">
        <v>565413092.07000065</v>
      </c>
      <c r="E12" s="461">
        <f t="shared" si="0"/>
        <v>949967386.11999881</v>
      </c>
      <c r="F12" s="460">
        <v>307900128.88999701</v>
      </c>
      <c r="G12" s="460">
        <v>511831670.41000038</v>
      </c>
      <c r="H12" s="462">
        <f t="shared" si="1"/>
        <v>819731799.29999733</v>
      </c>
    </row>
    <row r="13" spans="1:8" ht="15.75">
      <c r="A13" s="19">
        <v>6.2</v>
      </c>
      <c r="B13" s="24" t="s">
        <v>41</v>
      </c>
      <c r="C13" s="460">
        <v>18099421.3800001</v>
      </c>
      <c r="D13" s="460">
        <v>35238630.490000002</v>
      </c>
      <c r="E13" s="461">
        <f t="shared" si="0"/>
        <v>53338051.870000102</v>
      </c>
      <c r="F13" s="460">
        <v>35783908.42000033</v>
      </c>
      <c r="G13" s="460">
        <v>32082226.730000004</v>
      </c>
      <c r="H13" s="462">
        <f t="shared" si="1"/>
        <v>67866135.150000334</v>
      </c>
    </row>
    <row r="14" spans="1:8" ht="15.75">
      <c r="A14" s="19">
        <v>6</v>
      </c>
      <c r="B14" s="23" t="s">
        <v>42</v>
      </c>
      <c r="C14" s="461">
        <f>C12-C13</f>
        <v>366454872.66999805</v>
      </c>
      <c r="D14" s="461">
        <f>D12-D13</f>
        <v>530174461.58000064</v>
      </c>
      <c r="E14" s="461">
        <f t="shared" si="0"/>
        <v>896629334.24999869</v>
      </c>
      <c r="F14" s="461">
        <f>F12-F13</f>
        <v>272116220.46999669</v>
      </c>
      <c r="G14" s="461">
        <f>G12-G13</f>
        <v>479749443.68000036</v>
      </c>
      <c r="H14" s="462">
        <f t="shared" si="1"/>
        <v>751865664.149997</v>
      </c>
    </row>
    <row r="15" spans="1:8" ht="15.75">
      <c r="A15" s="19">
        <v>7</v>
      </c>
      <c r="B15" s="23" t="s">
        <v>43</v>
      </c>
      <c r="C15" s="460">
        <v>6679958.8899999661</v>
      </c>
      <c r="D15" s="460">
        <v>7017122.7099999925</v>
      </c>
      <c r="E15" s="461">
        <f t="shared" si="0"/>
        <v>13697081.599999959</v>
      </c>
      <c r="F15" s="460">
        <v>8026304.5099999867</v>
      </c>
      <c r="G15" s="460">
        <v>7461795.9300000081</v>
      </c>
      <c r="H15" s="462">
        <f t="shared" si="1"/>
        <v>15488100.439999994</v>
      </c>
    </row>
    <row r="16" spans="1:8" ht="15.75">
      <c r="A16" s="19">
        <v>8</v>
      </c>
      <c r="B16" s="23" t="s">
        <v>199</v>
      </c>
      <c r="C16" s="460">
        <v>3070297.77000002</v>
      </c>
      <c r="D16" s="460">
        <v>0</v>
      </c>
      <c r="E16" s="461">
        <f t="shared" si="0"/>
        <v>3070297.77000002</v>
      </c>
      <c r="F16" s="460">
        <v>2067124.8100000024</v>
      </c>
      <c r="G16" s="460">
        <v>0</v>
      </c>
      <c r="H16" s="462">
        <f t="shared" si="1"/>
        <v>2067124.8100000024</v>
      </c>
    </row>
    <row r="17" spans="1:8" ht="15.75">
      <c r="A17" s="19">
        <v>9</v>
      </c>
      <c r="B17" s="23" t="s">
        <v>44</v>
      </c>
      <c r="C17" s="460">
        <v>0</v>
      </c>
      <c r="D17" s="460">
        <v>0</v>
      </c>
      <c r="E17" s="461">
        <f t="shared" si="0"/>
        <v>0</v>
      </c>
      <c r="F17" s="460">
        <v>0</v>
      </c>
      <c r="G17" s="460">
        <v>0</v>
      </c>
      <c r="H17" s="462">
        <f t="shared" si="1"/>
        <v>0</v>
      </c>
    </row>
    <row r="18" spans="1:8" ht="15.75">
      <c r="A18" s="19">
        <v>10</v>
      </c>
      <c r="B18" s="23" t="s">
        <v>45</v>
      </c>
      <c r="C18" s="460">
        <v>46329030.339999989</v>
      </c>
      <c r="D18" s="460">
        <v>0</v>
      </c>
      <c r="E18" s="461">
        <f t="shared" si="0"/>
        <v>46329030.339999989</v>
      </c>
      <c r="F18" s="460">
        <v>48255000.220000029</v>
      </c>
      <c r="G18" s="460">
        <v>0</v>
      </c>
      <c r="H18" s="462">
        <f t="shared" si="1"/>
        <v>48255000.220000029</v>
      </c>
    </row>
    <row r="19" spans="1:8" ht="15.75">
      <c r="A19" s="19">
        <v>11</v>
      </c>
      <c r="B19" s="23" t="s">
        <v>46</v>
      </c>
      <c r="C19" s="460">
        <v>12223844.362999998</v>
      </c>
      <c r="D19" s="460">
        <v>750224.07000000007</v>
      </c>
      <c r="E19" s="461">
        <f t="shared" si="0"/>
        <v>12974068.432999998</v>
      </c>
      <c r="F19" s="460">
        <v>6380828.8910000008</v>
      </c>
      <c r="G19" s="460">
        <v>707136.83000000007</v>
      </c>
      <c r="H19" s="462">
        <f t="shared" si="1"/>
        <v>7087965.7210000008</v>
      </c>
    </row>
    <row r="20" spans="1:8" ht="15.75">
      <c r="A20" s="19">
        <v>12</v>
      </c>
      <c r="B20" s="26" t="s">
        <v>47</v>
      </c>
      <c r="C20" s="461">
        <f>SUM(C7:C11)+SUM(C14:C19)</f>
        <v>592553437.76299798</v>
      </c>
      <c r="D20" s="461">
        <f>SUM(D7:D11)+SUM(D14:D19)</f>
        <v>741536349.09000075</v>
      </c>
      <c r="E20" s="461">
        <f t="shared" si="0"/>
        <v>1334089786.8529987</v>
      </c>
      <c r="F20" s="461">
        <f>SUM(F7:F11)+SUM(F14:F19)</f>
        <v>442234823.33099669</v>
      </c>
      <c r="G20" s="461">
        <f>SUM(G7:G11)+SUM(G14:G19)</f>
        <v>652663522.40000033</v>
      </c>
      <c r="H20" s="462">
        <f t="shared" si="1"/>
        <v>1094898345.7309971</v>
      </c>
    </row>
    <row r="21" spans="1:8" ht="15.75">
      <c r="A21" s="19"/>
      <c r="B21" s="20" t="s">
        <v>48</v>
      </c>
      <c r="C21" s="460"/>
      <c r="D21" s="460"/>
      <c r="E21" s="463"/>
      <c r="F21" s="460"/>
      <c r="G21" s="460"/>
      <c r="H21" s="464"/>
    </row>
    <row r="22" spans="1:8" ht="15.75">
      <c r="A22" s="19">
        <v>13</v>
      </c>
      <c r="B22" s="23" t="s">
        <v>49</v>
      </c>
      <c r="C22" s="460">
        <v>2539.06</v>
      </c>
      <c r="D22" s="460">
        <v>61533.01</v>
      </c>
      <c r="E22" s="461">
        <f>C22+D22</f>
        <v>64072.07</v>
      </c>
      <c r="F22" s="460">
        <v>1238.82</v>
      </c>
      <c r="G22" s="460">
        <v>5917923.6000000006</v>
      </c>
      <c r="H22" s="462">
        <f t="shared" si="1"/>
        <v>5919162.4200000009</v>
      </c>
    </row>
    <row r="23" spans="1:8" ht="15.75">
      <c r="A23" s="19">
        <v>14</v>
      </c>
      <c r="B23" s="23" t="s">
        <v>50</v>
      </c>
      <c r="C23" s="460">
        <v>77528698.840000123</v>
      </c>
      <c r="D23" s="460">
        <v>153043270.86011034</v>
      </c>
      <c r="E23" s="461">
        <f t="shared" ref="E23:E40" si="2">C23+D23</f>
        <v>230571969.70011047</v>
      </c>
      <c r="F23" s="460">
        <v>56144357.500000551</v>
      </c>
      <c r="G23" s="460">
        <v>133193632.23999104</v>
      </c>
      <c r="H23" s="462">
        <f t="shared" si="1"/>
        <v>189337989.73999161</v>
      </c>
    </row>
    <row r="24" spans="1:8" ht="15.75">
      <c r="A24" s="19">
        <v>15</v>
      </c>
      <c r="B24" s="23" t="s">
        <v>51</v>
      </c>
      <c r="C24" s="460">
        <v>74387570.36999996</v>
      </c>
      <c r="D24" s="460">
        <v>174621233.82999974</v>
      </c>
      <c r="E24" s="461">
        <f t="shared" si="2"/>
        <v>249008804.19999969</v>
      </c>
      <c r="F24" s="460">
        <v>43927307.899999991</v>
      </c>
      <c r="G24" s="460">
        <v>124795244.65000007</v>
      </c>
      <c r="H24" s="462">
        <f t="shared" si="1"/>
        <v>168722552.55000007</v>
      </c>
    </row>
    <row r="25" spans="1:8" ht="15.75">
      <c r="A25" s="19">
        <v>16</v>
      </c>
      <c r="B25" s="23" t="s">
        <v>52</v>
      </c>
      <c r="C25" s="460">
        <v>127603100.84</v>
      </c>
      <c r="D25" s="460">
        <v>257161792.57000035</v>
      </c>
      <c r="E25" s="461">
        <f t="shared" si="2"/>
        <v>384764893.41000032</v>
      </c>
      <c r="F25" s="460">
        <v>117866854.80000001</v>
      </c>
      <c r="G25" s="460">
        <v>235055336.56999993</v>
      </c>
      <c r="H25" s="462">
        <f t="shared" si="1"/>
        <v>352922191.36999995</v>
      </c>
    </row>
    <row r="26" spans="1:8" ht="15.75">
      <c r="A26" s="19">
        <v>17</v>
      </c>
      <c r="B26" s="23" t="s">
        <v>53</v>
      </c>
      <c r="C26" s="460">
        <v>0</v>
      </c>
      <c r="D26" s="460">
        <v>0</v>
      </c>
      <c r="E26" s="461">
        <f t="shared" si="2"/>
        <v>0</v>
      </c>
      <c r="F26" s="460">
        <v>0</v>
      </c>
      <c r="G26" s="460">
        <v>0</v>
      </c>
      <c r="H26" s="462">
        <f t="shared" si="1"/>
        <v>0</v>
      </c>
    </row>
    <row r="27" spans="1:8" ht="15.75">
      <c r="A27" s="19">
        <v>18</v>
      </c>
      <c r="B27" s="23" t="s">
        <v>54</v>
      </c>
      <c r="C27" s="460">
        <v>170027500</v>
      </c>
      <c r="D27" s="460">
        <v>64470108</v>
      </c>
      <c r="E27" s="461">
        <f t="shared" si="2"/>
        <v>234497608</v>
      </c>
      <c r="F27" s="460">
        <v>104343500</v>
      </c>
      <c r="G27" s="460">
        <v>70480804</v>
      </c>
      <c r="H27" s="462">
        <f t="shared" si="1"/>
        <v>174824304</v>
      </c>
    </row>
    <row r="28" spans="1:8" ht="15.75">
      <c r="A28" s="19">
        <v>19</v>
      </c>
      <c r="B28" s="23" t="s">
        <v>55</v>
      </c>
      <c r="C28" s="460">
        <v>3101288.4700000007</v>
      </c>
      <c r="D28" s="460">
        <v>2968842.7500000014</v>
      </c>
      <c r="E28" s="461">
        <f t="shared" si="2"/>
        <v>6070131.2200000025</v>
      </c>
      <c r="F28" s="460">
        <v>2255217.6799999992</v>
      </c>
      <c r="G28" s="460">
        <v>2954145.5299999965</v>
      </c>
      <c r="H28" s="462">
        <f t="shared" si="1"/>
        <v>5209363.2099999953</v>
      </c>
    </row>
    <row r="29" spans="1:8" ht="15.75">
      <c r="A29" s="19">
        <v>20</v>
      </c>
      <c r="B29" s="23" t="s">
        <v>56</v>
      </c>
      <c r="C29" s="460">
        <v>9716991.6599999927</v>
      </c>
      <c r="D29" s="460">
        <v>17635740.27</v>
      </c>
      <c r="E29" s="461">
        <f t="shared" si="2"/>
        <v>27352731.929999992</v>
      </c>
      <c r="F29" s="460">
        <v>8650363.3400000017</v>
      </c>
      <c r="G29" s="460">
        <v>11980823.009999998</v>
      </c>
      <c r="H29" s="462">
        <f t="shared" si="1"/>
        <v>20631186.350000001</v>
      </c>
    </row>
    <row r="30" spans="1:8" ht="15.75">
      <c r="A30" s="19">
        <v>21</v>
      </c>
      <c r="B30" s="23" t="s">
        <v>57</v>
      </c>
      <c r="C30" s="460">
        <v>0</v>
      </c>
      <c r="D30" s="460">
        <v>61232587.399999999</v>
      </c>
      <c r="E30" s="461">
        <f t="shared" si="2"/>
        <v>61232587.399999999</v>
      </c>
      <c r="F30" s="460">
        <v>0</v>
      </c>
      <c r="G30" s="460">
        <v>57556912.420000002</v>
      </c>
      <c r="H30" s="462">
        <f t="shared" si="1"/>
        <v>57556912.420000002</v>
      </c>
    </row>
    <row r="31" spans="1:8" ht="15.75">
      <c r="A31" s="19">
        <v>22</v>
      </c>
      <c r="B31" s="26" t="s">
        <v>58</v>
      </c>
      <c r="C31" s="461">
        <f>SUM(C22:C30)</f>
        <v>462367689.24000013</v>
      </c>
      <c r="D31" s="461">
        <f>SUM(D22:D30)</f>
        <v>731195108.69011033</v>
      </c>
      <c r="E31" s="461">
        <f>C31+D31</f>
        <v>1193562797.9301105</v>
      </c>
      <c r="F31" s="461">
        <f>SUM(F22:F30)</f>
        <v>333188840.04000056</v>
      </c>
      <c r="G31" s="461">
        <f>SUM(G22:G30)</f>
        <v>641934822.01999092</v>
      </c>
      <c r="H31" s="462">
        <f t="shared" si="1"/>
        <v>975123662.05999148</v>
      </c>
    </row>
    <row r="32" spans="1:8" ht="15.75">
      <c r="A32" s="19"/>
      <c r="B32" s="20" t="s">
        <v>59</v>
      </c>
      <c r="C32" s="460"/>
      <c r="D32" s="460"/>
      <c r="E32" s="460"/>
      <c r="F32" s="460"/>
      <c r="G32" s="460"/>
      <c r="H32" s="464"/>
    </row>
    <row r="33" spans="1:8" ht="15.75">
      <c r="A33" s="19">
        <v>23</v>
      </c>
      <c r="B33" s="23" t="s">
        <v>60</v>
      </c>
      <c r="C33" s="460">
        <v>121372000</v>
      </c>
      <c r="D33" s="460">
        <v>0</v>
      </c>
      <c r="E33" s="461">
        <f t="shared" si="2"/>
        <v>121372000</v>
      </c>
      <c r="F33" s="460">
        <v>121372000</v>
      </c>
      <c r="G33" s="460">
        <v>0</v>
      </c>
      <c r="H33" s="462">
        <f t="shared" si="1"/>
        <v>121372000</v>
      </c>
    </row>
    <row r="34" spans="1:8" ht="15.75">
      <c r="A34" s="19">
        <v>24</v>
      </c>
      <c r="B34" s="23" t="s">
        <v>61</v>
      </c>
      <c r="C34" s="460">
        <v>0</v>
      </c>
      <c r="D34" s="460">
        <v>0</v>
      </c>
      <c r="E34" s="461">
        <f t="shared" si="2"/>
        <v>0</v>
      </c>
      <c r="F34" s="460">
        <v>0</v>
      </c>
      <c r="G34" s="460">
        <v>0</v>
      </c>
      <c r="H34" s="462">
        <f t="shared" si="1"/>
        <v>0</v>
      </c>
    </row>
    <row r="35" spans="1:8" ht="15.75">
      <c r="A35" s="19">
        <v>25</v>
      </c>
      <c r="B35" s="25" t="s">
        <v>62</v>
      </c>
      <c r="C35" s="460">
        <v>0</v>
      </c>
      <c r="D35" s="460">
        <v>0</v>
      </c>
      <c r="E35" s="461">
        <f t="shared" si="2"/>
        <v>0</v>
      </c>
      <c r="F35" s="460">
        <v>0</v>
      </c>
      <c r="G35" s="460">
        <v>0</v>
      </c>
      <c r="H35" s="462">
        <f t="shared" si="1"/>
        <v>0</v>
      </c>
    </row>
    <row r="36" spans="1:8" ht="15.75">
      <c r="A36" s="19">
        <v>26</v>
      </c>
      <c r="B36" s="23" t="s">
        <v>63</v>
      </c>
      <c r="C36" s="460">
        <v>0</v>
      </c>
      <c r="D36" s="460">
        <v>0</v>
      </c>
      <c r="E36" s="461">
        <f t="shared" si="2"/>
        <v>0</v>
      </c>
      <c r="F36" s="460">
        <v>0</v>
      </c>
      <c r="G36" s="460">
        <v>0</v>
      </c>
      <c r="H36" s="462">
        <f t="shared" si="1"/>
        <v>0</v>
      </c>
    </row>
    <row r="37" spans="1:8" ht="15.75">
      <c r="A37" s="19">
        <v>27</v>
      </c>
      <c r="B37" s="23" t="s">
        <v>64</v>
      </c>
      <c r="C37" s="460">
        <v>0</v>
      </c>
      <c r="D37" s="460">
        <v>0</v>
      </c>
      <c r="E37" s="461">
        <f t="shared" si="2"/>
        <v>0</v>
      </c>
      <c r="F37" s="460">
        <v>0</v>
      </c>
      <c r="G37" s="460">
        <v>0</v>
      </c>
      <c r="H37" s="462">
        <f t="shared" si="1"/>
        <v>0</v>
      </c>
    </row>
    <row r="38" spans="1:8" ht="15.75">
      <c r="A38" s="19">
        <v>28</v>
      </c>
      <c r="B38" s="23" t="s">
        <v>65</v>
      </c>
      <c r="C38" s="460">
        <v>19154988.900000006</v>
      </c>
      <c r="D38" s="460">
        <v>0</v>
      </c>
      <c r="E38" s="461">
        <f t="shared" si="2"/>
        <v>19154988.900000006</v>
      </c>
      <c r="F38" s="460">
        <v>-1597317.7400000133</v>
      </c>
      <c r="G38" s="460">
        <v>0</v>
      </c>
      <c r="H38" s="462">
        <f t="shared" si="1"/>
        <v>-1597317.7400000133</v>
      </c>
    </row>
    <row r="39" spans="1:8" ht="15.75">
      <c r="A39" s="19">
        <v>29</v>
      </c>
      <c r="B39" s="23" t="s">
        <v>66</v>
      </c>
      <c r="C39" s="460">
        <v>0</v>
      </c>
      <c r="D39" s="460">
        <v>0</v>
      </c>
      <c r="E39" s="461">
        <f t="shared" si="2"/>
        <v>0</v>
      </c>
      <c r="F39" s="460">
        <v>0</v>
      </c>
      <c r="G39" s="460">
        <v>0</v>
      </c>
      <c r="H39" s="462">
        <f t="shared" si="1"/>
        <v>0</v>
      </c>
    </row>
    <row r="40" spans="1:8" ht="15.75">
      <c r="A40" s="19">
        <v>30</v>
      </c>
      <c r="B40" s="213" t="s">
        <v>266</v>
      </c>
      <c r="C40" s="460">
        <v>140526988.90000001</v>
      </c>
      <c r="D40" s="460">
        <v>0</v>
      </c>
      <c r="E40" s="461">
        <f t="shared" si="2"/>
        <v>140526988.90000001</v>
      </c>
      <c r="F40" s="460">
        <v>119774682.25999999</v>
      </c>
      <c r="G40" s="460">
        <v>0</v>
      </c>
      <c r="H40" s="462">
        <f t="shared" si="1"/>
        <v>119774682.25999999</v>
      </c>
    </row>
    <row r="41" spans="1:8" ht="16.5" thickBot="1">
      <c r="A41" s="27">
        <v>31</v>
      </c>
      <c r="B41" s="28" t="s">
        <v>67</v>
      </c>
      <c r="C41" s="465">
        <f>C31+C40</f>
        <v>602894678.1400001</v>
      </c>
      <c r="D41" s="465">
        <f>D31+D40</f>
        <v>731195108.69011033</v>
      </c>
      <c r="E41" s="465">
        <f>C41+D41</f>
        <v>1334089786.8301105</v>
      </c>
      <c r="F41" s="465">
        <f>F31+F40</f>
        <v>452963522.30000055</v>
      </c>
      <c r="G41" s="465">
        <f>G31+G40</f>
        <v>641934822.01999092</v>
      </c>
      <c r="H41" s="466">
        <f>F41+G41</f>
        <v>1094898344.3199916</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41" activePane="bottomRight" state="frozen"/>
      <selection activeCell="B9" sqref="B9"/>
      <selection pane="topRight" activeCell="B9" sqref="B9"/>
      <selection pane="bottomLeft" activeCell="B9" sqref="B9"/>
      <selection pane="bottomRight" activeCell="F64" sqref="F64:G64"/>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Terabank</v>
      </c>
      <c r="C1" s="3">
        <f>'Info '!D2</f>
        <v>0</v>
      </c>
    </row>
    <row r="2" spans="1:8">
      <c r="A2" s="2" t="s">
        <v>31</v>
      </c>
      <c r="B2" s="3"/>
      <c r="C2" s="340">
        <v>44377</v>
      </c>
    </row>
    <row r="3" spans="1:8">
      <c r="A3" s="2"/>
      <c r="B3" s="3"/>
      <c r="C3" s="3"/>
    </row>
    <row r="4" spans="1:8" ht="13.5" thickBot="1">
      <c r="A4" s="3" t="s">
        <v>195</v>
      </c>
      <c r="B4" s="176" t="s">
        <v>22</v>
      </c>
      <c r="C4" s="3"/>
      <c r="D4" s="14"/>
      <c r="E4" s="14"/>
      <c r="F4" s="15"/>
      <c r="G4" s="15"/>
      <c r="H4" s="31" t="s">
        <v>73</v>
      </c>
    </row>
    <row r="5" spans="1:8">
      <c r="A5" s="32" t="s">
        <v>6</v>
      </c>
      <c r="B5" s="33"/>
      <c r="C5" s="615" t="s">
        <v>68</v>
      </c>
      <c r="D5" s="616"/>
      <c r="E5" s="617"/>
      <c r="F5" s="615" t="s">
        <v>72</v>
      </c>
      <c r="G5" s="616"/>
      <c r="H5" s="618"/>
    </row>
    <row r="6" spans="1:8">
      <c r="A6" s="34" t="s">
        <v>6</v>
      </c>
      <c r="B6" s="35"/>
      <c r="C6" s="21" t="s">
        <v>69</v>
      </c>
      <c r="D6" s="21" t="s">
        <v>70</v>
      </c>
      <c r="E6" s="21" t="s">
        <v>71</v>
      </c>
      <c r="F6" s="21" t="s">
        <v>69</v>
      </c>
      <c r="G6" s="21" t="s">
        <v>70</v>
      </c>
      <c r="H6" s="22" t="s">
        <v>71</v>
      </c>
    </row>
    <row r="7" spans="1:8">
      <c r="A7" s="19"/>
      <c r="B7" s="176" t="s">
        <v>194</v>
      </c>
      <c r="C7" s="36"/>
      <c r="D7" s="36"/>
      <c r="E7" s="36"/>
      <c r="F7" s="36"/>
      <c r="G7" s="36"/>
      <c r="H7" s="37"/>
    </row>
    <row r="8" spans="1:8" ht="15">
      <c r="A8" s="19">
        <v>1</v>
      </c>
      <c r="B8" s="38" t="s">
        <v>193</v>
      </c>
      <c r="C8" s="467">
        <v>560358.27</v>
      </c>
      <c r="D8" s="467">
        <v>-279207.08999999997</v>
      </c>
      <c r="E8" s="461">
        <f>C8+D8</f>
        <v>281151.18000000005</v>
      </c>
      <c r="F8" s="467">
        <v>537014.9</v>
      </c>
      <c r="G8" s="467">
        <v>116593.87999999999</v>
      </c>
      <c r="H8" s="468">
        <f>F8+G8</f>
        <v>653608.78</v>
      </c>
    </row>
    <row r="9" spans="1:8" ht="15">
      <c r="A9" s="19">
        <v>2</v>
      </c>
      <c r="B9" s="38" t="s">
        <v>192</v>
      </c>
      <c r="C9" s="469">
        <f>SUM(C10:C18)</f>
        <v>23363666.130000003</v>
      </c>
      <c r="D9" s="469">
        <f>SUM(D10:D18)</f>
        <v>21147304.579999998</v>
      </c>
      <c r="E9" s="461">
        <f t="shared" ref="E9:E67" si="0">C9+D9</f>
        <v>44510970.710000001</v>
      </c>
      <c r="F9" s="469">
        <f>SUM(F10:F18)</f>
        <v>18088327.949999999</v>
      </c>
      <c r="G9" s="469">
        <f>SUM(G10:G18)</f>
        <v>18538181.07</v>
      </c>
      <c r="H9" s="468">
        <f t="shared" ref="H9:H67" si="1">F9+G9</f>
        <v>36626509.019999996</v>
      </c>
    </row>
    <row r="10" spans="1:8" ht="15">
      <c r="A10" s="19">
        <v>2.1</v>
      </c>
      <c r="B10" s="39" t="s">
        <v>191</v>
      </c>
      <c r="C10" s="467">
        <v>0</v>
      </c>
      <c r="D10" s="467">
        <v>0</v>
      </c>
      <c r="E10" s="461">
        <f t="shared" si="0"/>
        <v>0</v>
      </c>
      <c r="F10" s="467">
        <v>0</v>
      </c>
      <c r="G10" s="467">
        <v>0</v>
      </c>
      <c r="H10" s="468">
        <f t="shared" si="1"/>
        <v>0</v>
      </c>
    </row>
    <row r="11" spans="1:8" ht="15">
      <c r="A11" s="19">
        <v>2.2000000000000002</v>
      </c>
      <c r="B11" s="39" t="s">
        <v>190</v>
      </c>
      <c r="C11" s="467">
        <v>5118355.1800000006</v>
      </c>
      <c r="D11" s="467">
        <v>7972518.4799999995</v>
      </c>
      <c r="E11" s="461">
        <f t="shared" si="0"/>
        <v>13090873.66</v>
      </c>
      <c r="F11" s="467">
        <v>3457105.82</v>
      </c>
      <c r="G11" s="467">
        <v>6921821.4100000001</v>
      </c>
      <c r="H11" s="468">
        <f t="shared" si="1"/>
        <v>10378927.23</v>
      </c>
    </row>
    <row r="12" spans="1:8" ht="15">
      <c r="A12" s="19">
        <v>2.2999999999999998</v>
      </c>
      <c r="B12" s="39" t="s">
        <v>189</v>
      </c>
      <c r="C12" s="467">
        <v>0</v>
      </c>
      <c r="D12" s="467">
        <v>406010.13</v>
      </c>
      <c r="E12" s="461">
        <f t="shared" si="0"/>
        <v>406010.13</v>
      </c>
      <c r="F12" s="467">
        <v>0</v>
      </c>
      <c r="G12" s="467">
        <v>893900.80000000005</v>
      </c>
      <c r="H12" s="468">
        <f t="shared" si="1"/>
        <v>893900.80000000005</v>
      </c>
    </row>
    <row r="13" spans="1:8" ht="15">
      <c r="A13" s="19">
        <v>2.4</v>
      </c>
      <c r="B13" s="39" t="s">
        <v>188</v>
      </c>
      <c r="C13" s="467">
        <v>298361.62</v>
      </c>
      <c r="D13" s="467">
        <v>62320.27</v>
      </c>
      <c r="E13" s="461">
        <f t="shared" si="0"/>
        <v>360681.89</v>
      </c>
      <c r="F13" s="467">
        <v>198262.75</v>
      </c>
      <c r="G13" s="467">
        <v>164519.56000000003</v>
      </c>
      <c r="H13" s="468">
        <f t="shared" si="1"/>
        <v>362782.31000000006</v>
      </c>
    </row>
    <row r="14" spans="1:8" ht="15">
      <c r="A14" s="19">
        <v>2.5</v>
      </c>
      <c r="B14" s="39" t="s">
        <v>187</v>
      </c>
      <c r="C14" s="467">
        <v>407361.61999999994</v>
      </c>
      <c r="D14" s="467">
        <v>2876042.4399999995</v>
      </c>
      <c r="E14" s="461">
        <f t="shared" si="0"/>
        <v>3283404.0599999996</v>
      </c>
      <c r="F14" s="467">
        <v>223875.21999999997</v>
      </c>
      <c r="G14" s="467">
        <v>1922514.98</v>
      </c>
      <c r="H14" s="468">
        <f t="shared" si="1"/>
        <v>2146390.2000000002</v>
      </c>
    </row>
    <row r="15" spans="1:8" ht="15">
      <c r="A15" s="19">
        <v>2.6</v>
      </c>
      <c r="B15" s="39" t="s">
        <v>186</v>
      </c>
      <c r="C15" s="467">
        <v>10932.220000000001</v>
      </c>
      <c r="D15" s="467">
        <v>12609.2</v>
      </c>
      <c r="E15" s="461">
        <f t="shared" si="0"/>
        <v>23541.420000000002</v>
      </c>
      <c r="F15" s="467">
        <v>13767.94</v>
      </c>
      <c r="G15" s="467">
        <v>12917.57</v>
      </c>
      <c r="H15" s="468">
        <f t="shared" si="1"/>
        <v>26685.510000000002</v>
      </c>
    </row>
    <row r="16" spans="1:8" ht="15">
      <c r="A16" s="19">
        <v>2.7</v>
      </c>
      <c r="B16" s="39" t="s">
        <v>185</v>
      </c>
      <c r="C16" s="467">
        <v>4601.87</v>
      </c>
      <c r="D16" s="467">
        <v>0</v>
      </c>
      <c r="E16" s="461">
        <f t="shared" si="0"/>
        <v>4601.87</v>
      </c>
      <c r="F16" s="467">
        <v>2133.04</v>
      </c>
      <c r="G16" s="467">
        <v>0</v>
      </c>
      <c r="H16" s="468">
        <f t="shared" si="1"/>
        <v>2133.04</v>
      </c>
    </row>
    <row r="17" spans="1:8" ht="15">
      <c r="A17" s="19">
        <v>2.8</v>
      </c>
      <c r="B17" s="39" t="s">
        <v>184</v>
      </c>
      <c r="C17" s="467">
        <v>14856457.670000002</v>
      </c>
      <c r="D17" s="467">
        <v>9193174.8300000001</v>
      </c>
      <c r="E17" s="461">
        <f t="shared" si="0"/>
        <v>24049632.5</v>
      </c>
      <c r="F17" s="467">
        <v>12286369.42</v>
      </c>
      <c r="G17" s="467">
        <v>7853784.3099999987</v>
      </c>
      <c r="H17" s="468">
        <f t="shared" si="1"/>
        <v>20140153.729999997</v>
      </c>
    </row>
    <row r="18" spans="1:8" ht="15">
      <c r="A18" s="19">
        <v>2.9</v>
      </c>
      <c r="B18" s="39" t="s">
        <v>183</v>
      </c>
      <c r="C18" s="467">
        <v>2667595.9499999997</v>
      </c>
      <c r="D18" s="467">
        <v>624629.23</v>
      </c>
      <c r="E18" s="461">
        <f t="shared" si="0"/>
        <v>3292225.1799999997</v>
      </c>
      <c r="F18" s="467">
        <v>1906813.7600000002</v>
      </c>
      <c r="G18" s="467">
        <v>768722.43999999983</v>
      </c>
      <c r="H18" s="468">
        <f t="shared" si="1"/>
        <v>2675536.2000000002</v>
      </c>
    </row>
    <row r="19" spans="1:8" ht="15">
      <c r="A19" s="19">
        <v>3</v>
      </c>
      <c r="B19" s="38" t="s">
        <v>182</v>
      </c>
      <c r="C19" s="467">
        <v>500540.21</v>
      </c>
      <c r="D19" s="467">
        <v>630733.68000000005</v>
      </c>
      <c r="E19" s="461">
        <f t="shared" si="0"/>
        <v>1131273.8900000001</v>
      </c>
      <c r="F19" s="467">
        <v>483828.06999999995</v>
      </c>
      <c r="G19" s="467">
        <v>591095.10000000009</v>
      </c>
      <c r="H19" s="468">
        <f t="shared" si="1"/>
        <v>1074923.17</v>
      </c>
    </row>
    <row r="20" spans="1:8" ht="15">
      <c r="A20" s="19">
        <v>4</v>
      </c>
      <c r="B20" s="38" t="s">
        <v>181</v>
      </c>
      <c r="C20" s="467">
        <v>3961682.07</v>
      </c>
      <c r="D20" s="467">
        <v>0</v>
      </c>
      <c r="E20" s="461">
        <f t="shared" si="0"/>
        <v>3961682.07</v>
      </c>
      <c r="F20" s="467">
        <v>2800127.0700000003</v>
      </c>
      <c r="G20" s="467">
        <v>0</v>
      </c>
      <c r="H20" s="468">
        <f t="shared" si="1"/>
        <v>2800127.0700000003</v>
      </c>
    </row>
    <row r="21" spans="1:8" ht="15">
      <c r="A21" s="19">
        <v>5</v>
      </c>
      <c r="B21" s="38" t="s">
        <v>180</v>
      </c>
      <c r="C21" s="467">
        <v>383870.38</v>
      </c>
      <c r="D21" s="467">
        <v>234523.34999999998</v>
      </c>
      <c r="E21" s="461">
        <f t="shared" si="0"/>
        <v>618393.73</v>
      </c>
      <c r="F21" s="467">
        <v>310279.80999999994</v>
      </c>
      <c r="G21" s="467">
        <v>195198.36</v>
      </c>
      <c r="H21" s="468">
        <f>F21+G21</f>
        <v>505478.16999999993</v>
      </c>
    </row>
    <row r="22" spans="1:8" ht="15">
      <c r="A22" s="19">
        <v>6</v>
      </c>
      <c r="B22" s="40" t="s">
        <v>179</v>
      </c>
      <c r="C22" s="469">
        <f>C8+C9+C19+C20+C21</f>
        <v>28770117.060000002</v>
      </c>
      <c r="D22" s="469">
        <f>D8+D9+D19+D20+D21</f>
        <v>21733354.52</v>
      </c>
      <c r="E22" s="461">
        <f>C22+D22</f>
        <v>50503471.579999998</v>
      </c>
      <c r="F22" s="469">
        <f>F8+F9+F19+F20+F21</f>
        <v>22219577.799999997</v>
      </c>
      <c r="G22" s="469">
        <f>G8+G9+G19+G20+G21</f>
        <v>19441068.41</v>
      </c>
      <c r="H22" s="468">
        <f>F22+G22</f>
        <v>41660646.209999993</v>
      </c>
    </row>
    <row r="23" spans="1:8" ht="15">
      <c r="A23" s="19"/>
      <c r="B23" s="176" t="s">
        <v>178</v>
      </c>
      <c r="C23" s="467"/>
      <c r="D23" s="467"/>
      <c r="E23" s="460"/>
      <c r="F23" s="467"/>
      <c r="G23" s="467"/>
      <c r="H23" s="470"/>
    </row>
    <row r="24" spans="1:8" ht="15">
      <c r="A24" s="19">
        <v>7</v>
      </c>
      <c r="B24" s="38" t="s">
        <v>177</v>
      </c>
      <c r="C24" s="467">
        <v>3585430.1399999997</v>
      </c>
      <c r="D24" s="467">
        <v>1748504.8399999999</v>
      </c>
      <c r="E24" s="461">
        <f t="shared" si="0"/>
        <v>5333934.9799999995</v>
      </c>
      <c r="F24" s="467">
        <v>2493417.7800000003</v>
      </c>
      <c r="G24" s="467">
        <v>1069159.07</v>
      </c>
      <c r="H24" s="468">
        <f t="shared" si="1"/>
        <v>3562576.8500000006</v>
      </c>
    </row>
    <row r="25" spans="1:8" ht="15">
      <c r="A25" s="19">
        <v>8</v>
      </c>
      <c r="B25" s="38" t="s">
        <v>176</v>
      </c>
      <c r="C25" s="467">
        <v>7624705.2299999995</v>
      </c>
      <c r="D25" s="467">
        <v>5000956.22</v>
      </c>
      <c r="E25" s="461">
        <f t="shared" si="0"/>
        <v>12625661.449999999</v>
      </c>
      <c r="F25" s="467">
        <v>6261630.4500000011</v>
      </c>
      <c r="G25" s="467">
        <v>4843440.4400000004</v>
      </c>
      <c r="H25" s="468">
        <f t="shared" si="1"/>
        <v>11105070.890000001</v>
      </c>
    </row>
    <row r="26" spans="1:8" ht="15">
      <c r="A26" s="19">
        <v>9</v>
      </c>
      <c r="B26" s="38" t="s">
        <v>175</v>
      </c>
      <c r="C26" s="467">
        <v>4730.13</v>
      </c>
      <c r="D26" s="467">
        <v>66537.5</v>
      </c>
      <c r="E26" s="461">
        <f t="shared" si="0"/>
        <v>71267.63</v>
      </c>
      <c r="F26" s="467">
        <v>466.85</v>
      </c>
      <c r="G26" s="467">
        <v>59511.29</v>
      </c>
      <c r="H26" s="468">
        <f t="shared" si="1"/>
        <v>59978.14</v>
      </c>
    </row>
    <row r="27" spans="1:8" ht="15">
      <c r="A27" s="19">
        <v>10</v>
      </c>
      <c r="B27" s="38" t="s">
        <v>174</v>
      </c>
      <c r="C27" s="467">
        <v>0</v>
      </c>
      <c r="D27" s="467">
        <v>0</v>
      </c>
      <c r="E27" s="461">
        <f t="shared" si="0"/>
        <v>0</v>
      </c>
      <c r="F27" s="467">
        <v>0</v>
      </c>
      <c r="G27" s="467">
        <v>0</v>
      </c>
      <c r="H27" s="468">
        <f t="shared" si="1"/>
        <v>0</v>
      </c>
    </row>
    <row r="28" spans="1:8" ht="15">
      <c r="A28" s="19">
        <v>11</v>
      </c>
      <c r="B28" s="38" t="s">
        <v>173</v>
      </c>
      <c r="C28" s="467">
        <v>5155455.9600000009</v>
      </c>
      <c r="D28" s="467">
        <v>3679166.2199999997</v>
      </c>
      <c r="E28" s="461">
        <f t="shared" si="0"/>
        <v>8834622.1799999997</v>
      </c>
      <c r="F28" s="467">
        <v>3362092.71</v>
      </c>
      <c r="G28" s="467">
        <v>3415020.1399999997</v>
      </c>
      <c r="H28" s="468">
        <f t="shared" si="1"/>
        <v>6777112.8499999996</v>
      </c>
    </row>
    <row r="29" spans="1:8" ht="15">
      <c r="A29" s="19">
        <v>12</v>
      </c>
      <c r="B29" s="38" t="s">
        <v>172</v>
      </c>
      <c r="C29" s="467">
        <v>0</v>
      </c>
      <c r="D29" s="467">
        <v>0</v>
      </c>
      <c r="E29" s="461">
        <f t="shared" si="0"/>
        <v>0</v>
      </c>
      <c r="F29" s="467">
        <v>0</v>
      </c>
      <c r="G29" s="467">
        <v>0</v>
      </c>
      <c r="H29" s="468">
        <f t="shared" si="1"/>
        <v>0</v>
      </c>
    </row>
    <row r="30" spans="1:8" ht="15">
      <c r="A30" s="19">
        <v>13</v>
      </c>
      <c r="B30" s="41" t="s">
        <v>171</v>
      </c>
      <c r="C30" s="469">
        <f>SUM(C24:C29)</f>
        <v>16370321.460000001</v>
      </c>
      <c r="D30" s="469">
        <f>SUM(D24:D29)</f>
        <v>10495164.779999999</v>
      </c>
      <c r="E30" s="461">
        <f t="shared" si="0"/>
        <v>26865486.240000002</v>
      </c>
      <c r="F30" s="469">
        <f>SUM(F24:F29)</f>
        <v>12117607.789999999</v>
      </c>
      <c r="G30" s="469">
        <f>SUM(G24:G29)</f>
        <v>9387130.9400000013</v>
      </c>
      <c r="H30" s="468">
        <f t="shared" si="1"/>
        <v>21504738.73</v>
      </c>
    </row>
    <row r="31" spans="1:8" ht="15">
      <c r="A31" s="19">
        <v>14</v>
      </c>
      <c r="B31" s="41" t="s">
        <v>170</v>
      </c>
      <c r="C31" s="469">
        <f>C22-C30</f>
        <v>12399795.600000001</v>
      </c>
      <c r="D31" s="469">
        <f>D22-D30</f>
        <v>11238189.74</v>
      </c>
      <c r="E31" s="461">
        <f t="shared" si="0"/>
        <v>23637985.340000004</v>
      </c>
      <c r="F31" s="469">
        <f>F22-F30</f>
        <v>10101970.009999998</v>
      </c>
      <c r="G31" s="469">
        <f>G22-G30</f>
        <v>10053937.469999999</v>
      </c>
      <c r="H31" s="468">
        <f t="shared" si="1"/>
        <v>20155907.479999997</v>
      </c>
    </row>
    <row r="32" spans="1:8">
      <c r="A32" s="19"/>
      <c r="B32" s="42"/>
      <c r="C32" s="471"/>
      <c r="D32" s="471"/>
      <c r="E32" s="471"/>
      <c r="F32" s="471"/>
      <c r="G32" s="471"/>
      <c r="H32" s="472"/>
    </row>
    <row r="33" spans="1:8" ht="15">
      <c r="A33" s="19"/>
      <c r="B33" s="42" t="s">
        <v>169</v>
      </c>
      <c r="C33" s="467"/>
      <c r="D33" s="467"/>
      <c r="E33" s="460"/>
      <c r="F33" s="467"/>
      <c r="G33" s="467"/>
      <c r="H33" s="470"/>
    </row>
    <row r="34" spans="1:8" ht="15">
      <c r="A34" s="19">
        <v>15</v>
      </c>
      <c r="B34" s="43" t="s">
        <v>168</v>
      </c>
      <c r="C34" s="469">
        <f>C35-C36</f>
        <v>1164303.4000000008</v>
      </c>
      <c r="D34" s="469">
        <f>D35-D36</f>
        <v>367010.69000000018</v>
      </c>
      <c r="E34" s="461">
        <f t="shared" si="0"/>
        <v>1531314.090000001</v>
      </c>
      <c r="F34" s="469">
        <f>F35-F36</f>
        <v>1099643.3399999994</v>
      </c>
      <c r="G34" s="469">
        <f>G35-G36</f>
        <v>118799.98000000045</v>
      </c>
      <c r="H34" s="468">
        <f t="shared" si="1"/>
        <v>1218443.3199999998</v>
      </c>
    </row>
    <row r="35" spans="1:8" ht="15">
      <c r="A35" s="19">
        <v>15.1</v>
      </c>
      <c r="B35" s="39" t="s">
        <v>167</v>
      </c>
      <c r="C35" s="467">
        <v>2255423.3000000007</v>
      </c>
      <c r="D35" s="467">
        <v>1318822.0000000002</v>
      </c>
      <c r="E35" s="461">
        <f t="shared" si="0"/>
        <v>3574245.3000000007</v>
      </c>
      <c r="F35" s="467">
        <v>2107987.8599999994</v>
      </c>
      <c r="G35" s="467">
        <v>1352146.3100000003</v>
      </c>
      <c r="H35" s="468">
        <f t="shared" si="1"/>
        <v>3460134.17</v>
      </c>
    </row>
    <row r="36" spans="1:8" ht="15">
      <c r="A36" s="19">
        <v>15.2</v>
      </c>
      <c r="B36" s="39" t="s">
        <v>166</v>
      </c>
      <c r="C36" s="467">
        <v>1091119.8999999999</v>
      </c>
      <c r="D36" s="467">
        <v>951811.31</v>
      </c>
      <c r="E36" s="461">
        <f t="shared" si="0"/>
        <v>2042931.21</v>
      </c>
      <c r="F36" s="467">
        <v>1008344.5200000001</v>
      </c>
      <c r="G36" s="467">
        <v>1233346.3299999998</v>
      </c>
      <c r="H36" s="468">
        <f t="shared" si="1"/>
        <v>2241690.85</v>
      </c>
    </row>
    <row r="37" spans="1:8" ht="15">
      <c r="A37" s="19">
        <v>16</v>
      </c>
      <c r="B37" s="38" t="s">
        <v>165</v>
      </c>
      <c r="C37" s="467">
        <v>0</v>
      </c>
      <c r="D37" s="467">
        <v>0</v>
      </c>
      <c r="E37" s="461">
        <f t="shared" si="0"/>
        <v>0</v>
      </c>
      <c r="F37" s="467">
        <v>0</v>
      </c>
      <c r="G37" s="467">
        <v>0</v>
      </c>
      <c r="H37" s="468">
        <f t="shared" si="1"/>
        <v>0</v>
      </c>
    </row>
    <row r="38" spans="1:8" ht="15">
      <c r="A38" s="19">
        <v>17</v>
      </c>
      <c r="B38" s="38" t="s">
        <v>164</v>
      </c>
      <c r="C38" s="467">
        <v>0</v>
      </c>
      <c r="D38" s="467">
        <v>0</v>
      </c>
      <c r="E38" s="461">
        <f t="shared" si="0"/>
        <v>0</v>
      </c>
      <c r="F38" s="467">
        <v>0</v>
      </c>
      <c r="G38" s="467">
        <v>0</v>
      </c>
      <c r="H38" s="468">
        <f t="shared" si="1"/>
        <v>0</v>
      </c>
    </row>
    <row r="39" spans="1:8" ht="15">
      <c r="A39" s="19">
        <v>18</v>
      </c>
      <c r="B39" s="38" t="s">
        <v>163</v>
      </c>
      <c r="C39" s="467">
        <v>0</v>
      </c>
      <c r="D39" s="467">
        <v>0</v>
      </c>
      <c r="E39" s="461">
        <f t="shared" si="0"/>
        <v>0</v>
      </c>
      <c r="F39" s="467">
        <v>0</v>
      </c>
      <c r="G39" s="467">
        <v>0</v>
      </c>
      <c r="H39" s="468">
        <f t="shared" si="1"/>
        <v>0</v>
      </c>
    </row>
    <row r="40" spans="1:8" ht="15">
      <c r="A40" s="19">
        <v>19</v>
      </c>
      <c r="B40" s="38" t="s">
        <v>162</v>
      </c>
      <c r="C40" s="467">
        <v>3638531.2700000009</v>
      </c>
      <c r="D40" s="467">
        <v>0</v>
      </c>
      <c r="E40" s="461">
        <f t="shared" si="0"/>
        <v>3638531.2700000009</v>
      </c>
      <c r="F40" s="467">
        <v>1441485.1300000013</v>
      </c>
      <c r="G40" s="467">
        <v>0</v>
      </c>
      <c r="H40" s="468">
        <f t="shared" si="1"/>
        <v>1441485.1300000013</v>
      </c>
    </row>
    <row r="41" spans="1:8" ht="15">
      <c r="A41" s="19">
        <v>20</v>
      </c>
      <c r="B41" s="38" t="s">
        <v>161</v>
      </c>
      <c r="C41" s="467">
        <v>-3467428.5600000005</v>
      </c>
      <c r="D41" s="467">
        <v>0</v>
      </c>
      <c r="E41" s="461">
        <f t="shared" si="0"/>
        <v>-3467428.5600000005</v>
      </c>
      <c r="F41" s="467">
        <v>1750094.3499999978</v>
      </c>
      <c r="G41" s="467">
        <v>0</v>
      </c>
      <c r="H41" s="468">
        <f t="shared" si="1"/>
        <v>1750094.3499999978</v>
      </c>
    </row>
    <row r="42" spans="1:8" ht="15">
      <c r="A42" s="19">
        <v>21</v>
      </c>
      <c r="B42" s="38" t="s">
        <v>160</v>
      </c>
      <c r="C42" s="467">
        <v>137205.20000000001</v>
      </c>
      <c r="D42" s="467">
        <v>0</v>
      </c>
      <c r="E42" s="461">
        <f t="shared" si="0"/>
        <v>137205.20000000001</v>
      </c>
      <c r="F42" s="467">
        <v>92858.93</v>
      </c>
      <c r="G42" s="467">
        <v>0</v>
      </c>
      <c r="H42" s="468">
        <f t="shared" si="1"/>
        <v>92858.93</v>
      </c>
    </row>
    <row r="43" spans="1:8" ht="15">
      <c r="A43" s="19">
        <v>22</v>
      </c>
      <c r="B43" s="38" t="s">
        <v>159</v>
      </c>
      <c r="C43" s="467">
        <v>218.4</v>
      </c>
      <c r="D43" s="467">
        <v>3559.6800000000003</v>
      </c>
      <c r="E43" s="461">
        <f t="shared" si="0"/>
        <v>3778.0800000000004</v>
      </c>
      <c r="F43" s="467">
        <v>350</v>
      </c>
      <c r="G43" s="467">
        <v>1433</v>
      </c>
      <c r="H43" s="468">
        <f t="shared" si="1"/>
        <v>1783</v>
      </c>
    </row>
    <row r="44" spans="1:8" ht="15">
      <c r="A44" s="19">
        <v>23</v>
      </c>
      <c r="B44" s="38" t="s">
        <v>158</v>
      </c>
      <c r="C44" s="467">
        <v>18212.970000000005</v>
      </c>
      <c r="D44" s="467">
        <v>67706.149999999994</v>
      </c>
      <c r="E44" s="461">
        <f t="shared" si="0"/>
        <v>85919.12</v>
      </c>
      <c r="F44" s="467">
        <v>43371.090000000004</v>
      </c>
      <c r="G44" s="467">
        <v>176.82</v>
      </c>
      <c r="H44" s="468">
        <f t="shared" si="1"/>
        <v>43547.91</v>
      </c>
    </row>
    <row r="45" spans="1:8" ht="15">
      <c r="A45" s="19">
        <v>24</v>
      </c>
      <c r="B45" s="41" t="s">
        <v>273</v>
      </c>
      <c r="C45" s="469">
        <f>C34+C37+C38+C39+C40+C41+C42+C43+C44</f>
        <v>1491042.6800000011</v>
      </c>
      <c r="D45" s="469">
        <f>D34+D37+D38+D39+D40+D41+D42+D43+D44</f>
        <v>438276.52000000014</v>
      </c>
      <c r="E45" s="461">
        <f t="shared" si="0"/>
        <v>1929319.2000000011</v>
      </c>
      <c r="F45" s="469">
        <f>F34+F37+F38+F39+F40+F41+F42+F43+F44</f>
        <v>4427802.839999998</v>
      </c>
      <c r="G45" s="469">
        <f>G34+G37+G38+G39+G40+G41+G42+G43+G44</f>
        <v>120409.80000000045</v>
      </c>
      <c r="H45" s="468">
        <f t="shared" si="1"/>
        <v>4548212.6399999987</v>
      </c>
    </row>
    <row r="46" spans="1:8">
      <c r="A46" s="19"/>
      <c r="B46" s="176" t="s">
        <v>157</v>
      </c>
      <c r="C46" s="467"/>
      <c r="D46" s="467"/>
      <c r="E46" s="467"/>
      <c r="F46" s="467"/>
      <c r="G46" s="467"/>
      <c r="H46" s="473"/>
    </row>
    <row r="47" spans="1:8" ht="15">
      <c r="A47" s="19">
        <v>25</v>
      </c>
      <c r="B47" s="38" t="s">
        <v>156</v>
      </c>
      <c r="C47" s="467">
        <v>403370.13</v>
      </c>
      <c r="D47" s="467">
        <v>254228.71</v>
      </c>
      <c r="E47" s="461">
        <f t="shared" si="0"/>
        <v>657598.84</v>
      </c>
      <c r="F47" s="467">
        <v>299036.52</v>
      </c>
      <c r="G47" s="467">
        <v>253933.25000000003</v>
      </c>
      <c r="H47" s="468">
        <f t="shared" si="1"/>
        <v>552969.77</v>
      </c>
    </row>
    <row r="48" spans="1:8" ht="15">
      <c r="A48" s="19">
        <v>26</v>
      </c>
      <c r="B48" s="38" t="s">
        <v>155</v>
      </c>
      <c r="C48" s="467">
        <v>590307.89999999979</v>
      </c>
      <c r="D48" s="467">
        <v>74311.48</v>
      </c>
      <c r="E48" s="461">
        <f t="shared" si="0"/>
        <v>664619.37999999977</v>
      </c>
      <c r="F48" s="467">
        <v>696964.41999999993</v>
      </c>
      <c r="G48" s="467">
        <v>12452.24</v>
      </c>
      <c r="H48" s="468">
        <f t="shared" si="1"/>
        <v>709416.65999999992</v>
      </c>
    </row>
    <row r="49" spans="1:8" ht="15">
      <c r="A49" s="19">
        <v>27</v>
      </c>
      <c r="B49" s="38" t="s">
        <v>154</v>
      </c>
      <c r="C49" s="467">
        <v>6287840.089999998</v>
      </c>
      <c r="D49" s="467">
        <v>0</v>
      </c>
      <c r="E49" s="461">
        <f t="shared" si="0"/>
        <v>6287840.089999998</v>
      </c>
      <c r="F49" s="467">
        <v>6650574.9800000014</v>
      </c>
      <c r="G49" s="467">
        <v>0</v>
      </c>
      <c r="H49" s="468">
        <f t="shared" si="1"/>
        <v>6650574.9800000014</v>
      </c>
    </row>
    <row r="50" spans="1:8" ht="15">
      <c r="A50" s="19">
        <v>28</v>
      </c>
      <c r="B50" s="38" t="s">
        <v>153</v>
      </c>
      <c r="C50" s="467">
        <v>0</v>
      </c>
      <c r="D50" s="467">
        <v>0</v>
      </c>
      <c r="E50" s="461">
        <f t="shared" si="0"/>
        <v>0</v>
      </c>
      <c r="F50" s="467">
        <v>0</v>
      </c>
      <c r="G50" s="467">
        <v>0</v>
      </c>
      <c r="H50" s="468">
        <f t="shared" si="1"/>
        <v>0</v>
      </c>
    </row>
    <row r="51" spans="1:8" ht="15">
      <c r="A51" s="19">
        <v>29</v>
      </c>
      <c r="B51" s="38" t="s">
        <v>152</v>
      </c>
      <c r="C51" s="467">
        <v>2515449.87</v>
      </c>
      <c r="D51" s="467">
        <v>0</v>
      </c>
      <c r="E51" s="461">
        <f t="shared" si="0"/>
        <v>2515449.87</v>
      </c>
      <c r="F51" s="467">
        <v>2601030.7199999997</v>
      </c>
      <c r="G51" s="467">
        <v>0</v>
      </c>
      <c r="H51" s="468">
        <f t="shared" si="1"/>
        <v>2601030.7199999997</v>
      </c>
    </row>
    <row r="52" spans="1:8" ht="15">
      <c r="A52" s="19">
        <v>30</v>
      </c>
      <c r="B52" s="38" t="s">
        <v>151</v>
      </c>
      <c r="C52" s="467">
        <v>3992001.0199999996</v>
      </c>
      <c r="D52" s="467">
        <v>8582.43</v>
      </c>
      <c r="E52" s="461">
        <f t="shared" si="0"/>
        <v>4000583.4499999997</v>
      </c>
      <c r="F52" s="467">
        <v>2336519.350000002</v>
      </c>
      <c r="G52" s="467">
        <v>0</v>
      </c>
      <c r="H52" s="468">
        <f t="shared" si="1"/>
        <v>2336519.350000002</v>
      </c>
    </row>
    <row r="53" spans="1:8" ht="15">
      <c r="A53" s="19">
        <v>31</v>
      </c>
      <c r="B53" s="41" t="s">
        <v>274</v>
      </c>
      <c r="C53" s="469">
        <f>C47+C48+C49+C50+C51+C52</f>
        <v>13788969.009999998</v>
      </c>
      <c r="D53" s="469">
        <f>D47+D48+D49+D50+D51+D52</f>
        <v>337122.62</v>
      </c>
      <c r="E53" s="461">
        <f t="shared" si="0"/>
        <v>14126091.629999997</v>
      </c>
      <c r="F53" s="469">
        <f>F47+F48+F49+F50+F51+F52</f>
        <v>12584125.990000002</v>
      </c>
      <c r="G53" s="469">
        <f>G47+G48+G49+G50+G51+G52</f>
        <v>266385.49000000005</v>
      </c>
      <c r="H53" s="468">
        <f t="shared" si="1"/>
        <v>12850511.480000002</v>
      </c>
    </row>
    <row r="54" spans="1:8" ht="15">
      <c r="A54" s="19">
        <v>32</v>
      </c>
      <c r="B54" s="41" t="s">
        <v>275</v>
      </c>
      <c r="C54" s="469">
        <f>C45-C53</f>
        <v>-12297926.329999996</v>
      </c>
      <c r="D54" s="469">
        <f>D45-D53</f>
        <v>101153.90000000014</v>
      </c>
      <c r="E54" s="461">
        <f t="shared" si="0"/>
        <v>-12196772.429999996</v>
      </c>
      <c r="F54" s="469">
        <f>F45-F53</f>
        <v>-8156323.1500000041</v>
      </c>
      <c r="G54" s="469">
        <f>G45-G53</f>
        <v>-145975.68999999959</v>
      </c>
      <c r="H54" s="468">
        <f t="shared" si="1"/>
        <v>-8302298.8400000036</v>
      </c>
    </row>
    <row r="55" spans="1:8">
      <c r="A55" s="19"/>
      <c r="B55" s="42"/>
      <c r="C55" s="471"/>
      <c r="D55" s="471"/>
      <c r="E55" s="471"/>
      <c r="F55" s="471"/>
      <c r="G55" s="471"/>
      <c r="H55" s="472"/>
    </row>
    <row r="56" spans="1:8" ht="15">
      <c r="A56" s="19">
        <v>33</v>
      </c>
      <c r="B56" s="41" t="s">
        <v>150</v>
      </c>
      <c r="C56" s="469">
        <f>C31+C54</f>
        <v>101869.27000000514</v>
      </c>
      <c r="D56" s="469">
        <f>D31+D54</f>
        <v>11339343.640000001</v>
      </c>
      <c r="E56" s="461">
        <f t="shared" si="0"/>
        <v>11441212.910000006</v>
      </c>
      <c r="F56" s="469">
        <f>F31+F54</f>
        <v>1945646.8599999938</v>
      </c>
      <c r="G56" s="469">
        <f>G31+G54</f>
        <v>9907961.7799999993</v>
      </c>
      <c r="H56" s="468">
        <f t="shared" si="1"/>
        <v>11853608.639999993</v>
      </c>
    </row>
    <row r="57" spans="1:8">
      <c r="A57" s="19"/>
      <c r="B57" s="42"/>
      <c r="C57" s="471"/>
      <c r="D57" s="471"/>
      <c r="E57" s="471"/>
      <c r="F57" s="471"/>
      <c r="G57" s="471"/>
      <c r="H57" s="472"/>
    </row>
    <row r="58" spans="1:8" ht="15">
      <c r="A58" s="19">
        <v>34</v>
      </c>
      <c r="B58" s="38" t="s">
        <v>149</v>
      </c>
      <c r="C58" s="467">
        <v>-798756.65</v>
      </c>
      <c r="D58" s="467" t="s">
        <v>743</v>
      </c>
      <c r="E58" s="474">
        <f>C58</f>
        <v>-798756.65</v>
      </c>
      <c r="F58" s="467">
        <v>30264667.049999997</v>
      </c>
      <c r="G58" s="467" t="s">
        <v>743</v>
      </c>
      <c r="H58" s="475">
        <f>F58</f>
        <v>30264667.049999997</v>
      </c>
    </row>
    <row r="59" spans="1:8" s="177" customFormat="1" ht="15">
      <c r="A59" s="19">
        <v>35</v>
      </c>
      <c r="B59" s="38" t="s">
        <v>148</v>
      </c>
      <c r="C59" s="467">
        <v>0</v>
      </c>
      <c r="D59" s="467" t="s">
        <v>743</v>
      </c>
      <c r="E59" s="474">
        <f>C59</f>
        <v>0</v>
      </c>
      <c r="F59" s="467">
        <v>7638</v>
      </c>
      <c r="G59" s="467" t="s">
        <v>743</v>
      </c>
      <c r="H59" s="475">
        <f>F59</f>
        <v>7638</v>
      </c>
    </row>
    <row r="60" spans="1:8" ht="15">
      <c r="A60" s="19">
        <v>36</v>
      </c>
      <c r="B60" s="38" t="s">
        <v>147</v>
      </c>
      <c r="C60" s="467">
        <v>-2792381.38</v>
      </c>
      <c r="D60" s="467" t="s">
        <v>743</v>
      </c>
      <c r="E60" s="474">
        <f>C60</f>
        <v>-2792381.38</v>
      </c>
      <c r="F60" s="467">
        <v>1132208.03</v>
      </c>
      <c r="G60" s="467" t="s">
        <v>743</v>
      </c>
      <c r="H60" s="475">
        <f>F60</f>
        <v>1132208.03</v>
      </c>
    </row>
    <row r="61" spans="1:8" ht="15">
      <c r="A61" s="19">
        <v>37</v>
      </c>
      <c r="B61" s="41" t="s">
        <v>146</v>
      </c>
      <c r="C61" s="469">
        <f>C58+C59+C60</f>
        <v>-3591138.03</v>
      </c>
      <c r="D61" s="469">
        <v>0</v>
      </c>
      <c r="E61" s="474">
        <f>C61</f>
        <v>-3591138.03</v>
      </c>
      <c r="F61" s="469">
        <f>F58+F59+F60</f>
        <v>31404513.079999998</v>
      </c>
      <c r="G61" s="476">
        <v>0</v>
      </c>
      <c r="H61" s="475">
        <f t="shared" ref="H61" si="2">F61+G61</f>
        <v>31404513.079999998</v>
      </c>
    </row>
    <row r="62" spans="1:8">
      <c r="A62" s="19"/>
      <c r="B62" s="44"/>
      <c r="C62" s="467"/>
      <c r="D62" s="467"/>
      <c r="E62" s="467"/>
      <c r="F62" s="467"/>
      <c r="G62" s="467"/>
      <c r="H62" s="473"/>
    </row>
    <row r="63" spans="1:8" ht="15">
      <c r="A63" s="19">
        <v>38</v>
      </c>
      <c r="B63" s="45" t="s">
        <v>145</v>
      </c>
      <c r="C63" s="469">
        <f>C56-C61</f>
        <v>3693007.3000000049</v>
      </c>
      <c r="D63" s="469">
        <f>D56-D61</f>
        <v>11339343.640000001</v>
      </c>
      <c r="E63" s="461">
        <f t="shared" si="0"/>
        <v>15032350.940000005</v>
      </c>
      <c r="F63" s="469">
        <f>F56-F61</f>
        <v>-29458866.220000006</v>
      </c>
      <c r="G63" s="469">
        <f>G56-G61</f>
        <v>9907961.7799999993</v>
      </c>
      <c r="H63" s="468">
        <f t="shared" si="1"/>
        <v>-19550904.440000005</v>
      </c>
    </row>
    <row r="64" spans="1:8" ht="15">
      <c r="A64" s="34">
        <v>39</v>
      </c>
      <c r="B64" s="38" t="s">
        <v>144</v>
      </c>
      <c r="C64" s="467">
        <v>0</v>
      </c>
      <c r="D64" s="467">
        <v>0</v>
      </c>
      <c r="E64" s="461">
        <f t="shared" si="0"/>
        <v>0</v>
      </c>
      <c r="F64" s="467">
        <v>0</v>
      </c>
      <c r="G64" s="467">
        <v>0</v>
      </c>
      <c r="H64" s="468">
        <f t="shared" si="1"/>
        <v>0</v>
      </c>
    </row>
    <row r="65" spans="1:8" ht="15">
      <c r="A65" s="19">
        <v>40</v>
      </c>
      <c r="B65" s="41" t="s">
        <v>143</v>
      </c>
      <c r="C65" s="469">
        <f>C63-C64</f>
        <v>3693007.3000000049</v>
      </c>
      <c r="D65" s="469">
        <f>D63-D64</f>
        <v>11339343.640000001</v>
      </c>
      <c r="E65" s="461">
        <f t="shared" si="0"/>
        <v>15032350.940000005</v>
      </c>
      <c r="F65" s="469">
        <f>F63-F64</f>
        <v>-29458866.220000006</v>
      </c>
      <c r="G65" s="469">
        <f>G63-G64</f>
        <v>9907961.7799999993</v>
      </c>
      <c r="H65" s="468">
        <f t="shared" si="1"/>
        <v>-19550904.440000005</v>
      </c>
    </row>
    <row r="66" spans="1:8" ht="15">
      <c r="A66" s="34">
        <v>41</v>
      </c>
      <c r="B66" s="38" t="s">
        <v>142</v>
      </c>
      <c r="C66" s="467">
        <v>0</v>
      </c>
      <c r="D66" s="467">
        <v>0</v>
      </c>
      <c r="E66" s="461">
        <f t="shared" si="0"/>
        <v>0</v>
      </c>
      <c r="F66" s="467">
        <v>0</v>
      </c>
      <c r="G66" s="467">
        <v>0</v>
      </c>
      <c r="H66" s="468">
        <f t="shared" si="1"/>
        <v>0</v>
      </c>
    </row>
    <row r="67" spans="1:8" ht="15.75" thickBot="1">
      <c r="A67" s="46">
        <v>42</v>
      </c>
      <c r="B67" s="47" t="s">
        <v>141</v>
      </c>
      <c r="C67" s="477">
        <f>C65+C66</f>
        <v>3693007.3000000049</v>
      </c>
      <c r="D67" s="477">
        <f>D65+D66</f>
        <v>11339343.640000001</v>
      </c>
      <c r="E67" s="465">
        <f t="shared" si="0"/>
        <v>15032350.940000005</v>
      </c>
      <c r="F67" s="477">
        <f>F65+F66</f>
        <v>-29458866.220000006</v>
      </c>
      <c r="G67" s="477">
        <f>G65+G66</f>
        <v>9907961.7799999993</v>
      </c>
      <c r="H67" s="478">
        <f t="shared" si="1"/>
        <v>-19550904.440000005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26" zoomScaleNormal="100" workbookViewId="0">
      <selection activeCell="D56" sqref="D56"/>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Terabank</v>
      </c>
    </row>
    <row r="2" spans="1:8">
      <c r="A2" s="2" t="s">
        <v>31</v>
      </c>
      <c r="B2" s="340">
        <v>44377</v>
      </c>
    </row>
    <row r="3" spans="1:8">
      <c r="A3" s="4"/>
    </row>
    <row r="4" spans="1:8" ht="15" thickBot="1">
      <c r="A4" s="4" t="s">
        <v>74</v>
      </c>
      <c r="B4" s="4"/>
      <c r="C4" s="160"/>
      <c r="D4" s="160"/>
      <c r="E4" s="160"/>
      <c r="F4" s="160"/>
      <c r="G4" s="160"/>
      <c r="H4" s="161" t="s">
        <v>73</v>
      </c>
    </row>
    <row r="5" spans="1:8">
      <c r="A5" s="619" t="s">
        <v>6</v>
      </c>
      <c r="B5" s="621" t="s">
        <v>340</v>
      </c>
      <c r="C5" s="615" t="s">
        <v>68</v>
      </c>
      <c r="D5" s="616"/>
      <c r="E5" s="617"/>
      <c r="F5" s="615" t="s">
        <v>72</v>
      </c>
      <c r="G5" s="616"/>
      <c r="H5" s="618"/>
    </row>
    <row r="6" spans="1:8">
      <c r="A6" s="620"/>
      <c r="B6" s="622"/>
      <c r="C6" s="21" t="s">
        <v>287</v>
      </c>
      <c r="D6" s="21" t="s">
        <v>122</v>
      </c>
      <c r="E6" s="21" t="s">
        <v>109</v>
      </c>
      <c r="F6" s="21" t="s">
        <v>287</v>
      </c>
      <c r="G6" s="21" t="s">
        <v>122</v>
      </c>
      <c r="H6" s="22" t="s">
        <v>109</v>
      </c>
    </row>
    <row r="7" spans="1:8" ht="15.75">
      <c r="A7" s="74">
        <v>1</v>
      </c>
      <c r="B7" s="162" t="s">
        <v>374</v>
      </c>
      <c r="C7" s="479">
        <v>46423101.88000001</v>
      </c>
      <c r="D7" s="479">
        <v>28080025.450000003</v>
      </c>
      <c r="E7" s="480">
        <f>C7+D7</f>
        <v>74503127.330000013</v>
      </c>
      <c r="F7" s="479">
        <v>29910070.089999992</v>
      </c>
      <c r="G7" s="479">
        <v>35963181.870000005</v>
      </c>
      <c r="H7" s="462">
        <f t="shared" ref="H7:H53" si="0">F7+G7</f>
        <v>65873251.959999993</v>
      </c>
    </row>
    <row r="8" spans="1:8" ht="15.75">
      <c r="A8" s="74">
        <v>1.1000000000000001</v>
      </c>
      <c r="B8" s="202" t="s">
        <v>305</v>
      </c>
      <c r="C8" s="479">
        <v>31626030.359999999</v>
      </c>
      <c r="D8" s="479">
        <v>20684337.280000001</v>
      </c>
      <c r="E8" s="480">
        <f t="shared" ref="E8:E53" si="1">C8+D8</f>
        <v>52310367.640000001</v>
      </c>
      <c r="F8" s="479">
        <v>18799667.289999999</v>
      </c>
      <c r="G8" s="479">
        <v>17887328.02</v>
      </c>
      <c r="H8" s="462">
        <f t="shared" si="0"/>
        <v>36686995.310000002</v>
      </c>
    </row>
    <row r="9" spans="1:8" ht="15.75">
      <c r="A9" s="74">
        <v>1.2</v>
      </c>
      <c r="B9" s="202" t="s">
        <v>306</v>
      </c>
      <c r="C9" s="479">
        <v>0</v>
      </c>
      <c r="D9" s="479">
        <v>0</v>
      </c>
      <c r="E9" s="480">
        <f t="shared" si="1"/>
        <v>0</v>
      </c>
      <c r="F9" s="479">
        <v>2241900</v>
      </c>
      <c r="G9" s="479">
        <v>2156509.56</v>
      </c>
      <c r="H9" s="462">
        <f t="shared" si="0"/>
        <v>4398409.5600000005</v>
      </c>
    </row>
    <row r="10" spans="1:8" ht="15.75">
      <c r="A10" s="74">
        <v>1.3</v>
      </c>
      <c r="B10" s="202" t="s">
        <v>307</v>
      </c>
      <c r="C10" s="479">
        <v>14797071.520000011</v>
      </c>
      <c r="D10" s="479">
        <v>7395688.1699999999</v>
      </c>
      <c r="E10" s="480">
        <f t="shared" si="1"/>
        <v>22192759.690000013</v>
      </c>
      <c r="F10" s="479">
        <v>8868502.7999999933</v>
      </c>
      <c r="G10" s="479">
        <v>15919344.290000005</v>
      </c>
      <c r="H10" s="462">
        <f t="shared" si="0"/>
        <v>24787847.089999996</v>
      </c>
    </row>
    <row r="11" spans="1:8" ht="15.75">
      <c r="A11" s="74">
        <v>1.4</v>
      </c>
      <c r="B11" s="202" t="s">
        <v>288</v>
      </c>
      <c r="C11" s="479">
        <v>0</v>
      </c>
      <c r="D11" s="479">
        <v>0</v>
      </c>
      <c r="E11" s="480">
        <f t="shared" si="1"/>
        <v>0</v>
      </c>
      <c r="F11" s="479">
        <v>0</v>
      </c>
      <c r="G11" s="479">
        <v>0</v>
      </c>
      <c r="H11" s="462">
        <f t="shared" si="0"/>
        <v>0</v>
      </c>
    </row>
    <row r="12" spans="1:8" ht="29.25" customHeight="1">
      <c r="A12" s="74">
        <v>2</v>
      </c>
      <c r="B12" s="164" t="s">
        <v>309</v>
      </c>
      <c r="C12" s="479">
        <v>0</v>
      </c>
      <c r="D12" s="479">
        <v>0</v>
      </c>
      <c r="E12" s="480">
        <f t="shared" si="1"/>
        <v>0</v>
      </c>
      <c r="F12" s="479">
        <v>0</v>
      </c>
      <c r="G12" s="479">
        <v>0</v>
      </c>
      <c r="H12" s="462">
        <f t="shared" si="0"/>
        <v>0</v>
      </c>
    </row>
    <row r="13" spans="1:8" ht="19.899999999999999" customHeight="1">
      <c r="A13" s="74">
        <v>3</v>
      </c>
      <c r="B13" s="164" t="s">
        <v>308</v>
      </c>
      <c r="C13" s="479">
        <v>130712000</v>
      </c>
      <c r="D13" s="479">
        <v>0</v>
      </c>
      <c r="E13" s="480">
        <f t="shared" si="1"/>
        <v>130712000</v>
      </c>
      <c r="F13" s="479">
        <v>94293000</v>
      </c>
      <c r="G13" s="479">
        <v>0</v>
      </c>
      <c r="H13" s="462">
        <f t="shared" si="0"/>
        <v>94293000</v>
      </c>
    </row>
    <row r="14" spans="1:8" ht="15.75">
      <c r="A14" s="74">
        <v>3.1</v>
      </c>
      <c r="B14" s="203" t="s">
        <v>289</v>
      </c>
      <c r="C14" s="479">
        <v>130712000</v>
      </c>
      <c r="D14" s="479">
        <v>0</v>
      </c>
      <c r="E14" s="480">
        <f t="shared" si="1"/>
        <v>130712000</v>
      </c>
      <c r="F14" s="479">
        <v>94293000</v>
      </c>
      <c r="G14" s="479">
        <v>0</v>
      </c>
      <c r="H14" s="462">
        <f t="shared" si="0"/>
        <v>94293000</v>
      </c>
    </row>
    <row r="15" spans="1:8" ht="15.75">
      <c r="A15" s="74">
        <v>3.2</v>
      </c>
      <c r="B15" s="203" t="s">
        <v>290</v>
      </c>
      <c r="C15" s="479">
        <v>0</v>
      </c>
      <c r="D15" s="479">
        <v>0</v>
      </c>
      <c r="E15" s="480">
        <f t="shared" si="1"/>
        <v>0</v>
      </c>
      <c r="F15" s="479">
        <v>0</v>
      </c>
      <c r="G15" s="479">
        <v>0</v>
      </c>
      <c r="H15" s="462">
        <f t="shared" si="0"/>
        <v>0</v>
      </c>
    </row>
    <row r="16" spans="1:8" ht="15.75">
      <c r="A16" s="74">
        <v>4</v>
      </c>
      <c r="B16" s="206" t="s">
        <v>319</v>
      </c>
      <c r="C16" s="479">
        <v>243086808.32000014</v>
      </c>
      <c r="D16" s="479">
        <v>424365799.97000009</v>
      </c>
      <c r="E16" s="480">
        <f t="shared" si="1"/>
        <v>667452608.2900002</v>
      </c>
      <c r="F16" s="479">
        <v>178856729.13000104</v>
      </c>
      <c r="G16" s="479">
        <v>381519142.2700004</v>
      </c>
      <c r="H16" s="462">
        <f t="shared" si="0"/>
        <v>560375871.40000141</v>
      </c>
    </row>
    <row r="17" spans="1:8" ht="15.75">
      <c r="A17" s="74">
        <v>4.0999999999999996</v>
      </c>
      <c r="B17" s="203" t="s">
        <v>310</v>
      </c>
      <c r="C17" s="479">
        <v>237655870.44800013</v>
      </c>
      <c r="D17" s="479">
        <v>424365799.97000009</v>
      </c>
      <c r="E17" s="480">
        <f t="shared" si="1"/>
        <v>662021670.41800022</v>
      </c>
      <c r="F17" s="479">
        <v>178856729.13000104</v>
      </c>
      <c r="G17" s="479">
        <v>381519142.2700004</v>
      </c>
      <c r="H17" s="462">
        <f t="shared" si="0"/>
        <v>560375871.40000141</v>
      </c>
    </row>
    <row r="18" spans="1:8" ht="15.75">
      <c r="A18" s="74">
        <v>4.2</v>
      </c>
      <c r="B18" s="203" t="s">
        <v>304</v>
      </c>
      <c r="C18" s="479">
        <v>5430937.8719999995</v>
      </c>
      <c r="D18" s="479">
        <v>0</v>
      </c>
      <c r="E18" s="480">
        <f t="shared" si="1"/>
        <v>5430937.8719999995</v>
      </c>
      <c r="F18" s="479">
        <v>0</v>
      </c>
      <c r="G18" s="479">
        <v>0</v>
      </c>
      <c r="H18" s="462">
        <f t="shared" si="0"/>
        <v>0</v>
      </c>
    </row>
    <row r="19" spans="1:8" ht="15.75">
      <c r="A19" s="74">
        <v>5</v>
      </c>
      <c r="B19" s="164" t="s">
        <v>318</v>
      </c>
      <c r="C19" s="479">
        <v>830910328.93000054</v>
      </c>
      <c r="D19" s="479">
        <v>1019891280.5800003</v>
      </c>
      <c r="E19" s="480">
        <f t="shared" si="1"/>
        <v>1850801609.5100007</v>
      </c>
      <c r="F19" s="479">
        <v>681773501.45999908</v>
      </c>
      <c r="G19" s="479">
        <v>940683150.06000042</v>
      </c>
      <c r="H19" s="462">
        <f t="shared" si="0"/>
        <v>1622456651.5199995</v>
      </c>
    </row>
    <row r="20" spans="1:8" ht="15.75">
      <c r="A20" s="74">
        <v>5.0999999999999996</v>
      </c>
      <c r="B20" s="204" t="s">
        <v>293</v>
      </c>
      <c r="C20" s="479">
        <v>25708481.800000008</v>
      </c>
      <c r="D20" s="479">
        <v>35918284.509999998</v>
      </c>
      <c r="E20" s="480">
        <f t="shared" si="1"/>
        <v>61626766.310000002</v>
      </c>
      <c r="F20" s="479">
        <v>13738583.76</v>
      </c>
      <c r="G20" s="479">
        <v>34233332.820000008</v>
      </c>
      <c r="H20" s="462">
        <f t="shared" si="0"/>
        <v>47971916.580000006</v>
      </c>
    </row>
    <row r="21" spans="1:8" ht="15.75">
      <c r="A21" s="74">
        <v>5.2</v>
      </c>
      <c r="B21" s="204" t="s">
        <v>292</v>
      </c>
      <c r="C21" s="479">
        <v>12117406.920000002</v>
      </c>
      <c r="D21" s="479">
        <v>5349022.9999999991</v>
      </c>
      <c r="E21" s="480">
        <f t="shared" si="1"/>
        <v>17466429.920000002</v>
      </c>
      <c r="F21" s="479">
        <v>74545564.650000006</v>
      </c>
      <c r="G21" s="479">
        <v>17026575.459999997</v>
      </c>
      <c r="H21" s="462">
        <f t="shared" si="0"/>
        <v>91572140.109999999</v>
      </c>
    </row>
    <row r="22" spans="1:8" ht="15.75">
      <c r="A22" s="74">
        <v>5.3</v>
      </c>
      <c r="B22" s="204" t="s">
        <v>291</v>
      </c>
      <c r="C22" s="479">
        <v>698032857.01000059</v>
      </c>
      <c r="D22" s="479">
        <v>955990726.27000034</v>
      </c>
      <c r="E22" s="480">
        <f t="shared" si="1"/>
        <v>1654023583.2800009</v>
      </c>
      <c r="F22" s="479">
        <v>533116877.46999902</v>
      </c>
      <c r="G22" s="479">
        <v>863291025.0800004</v>
      </c>
      <c r="H22" s="462">
        <f t="shared" si="0"/>
        <v>1396407902.5499995</v>
      </c>
    </row>
    <row r="23" spans="1:8" ht="15.75">
      <c r="A23" s="74" t="s">
        <v>15</v>
      </c>
      <c r="B23" s="165" t="s">
        <v>75</v>
      </c>
      <c r="C23" s="479">
        <v>409168755.19000012</v>
      </c>
      <c r="D23" s="479">
        <v>360396492.45000029</v>
      </c>
      <c r="E23" s="480">
        <f t="shared" si="1"/>
        <v>769565247.64000034</v>
      </c>
      <c r="F23" s="479">
        <v>317523187.07999915</v>
      </c>
      <c r="G23" s="479">
        <v>350612418.03000045</v>
      </c>
      <c r="H23" s="462">
        <f t="shared" si="0"/>
        <v>668135605.10999966</v>
      </c>
    </row>
    <row r="24" spans="1:8" ht="15.75">
      <c r="A24" s="74" t="s">
        <v>16</v>
      </c>
      <c r="B24" s="165" t="s">
        <v>76</v>
      </c>
      <c r="C24" s="479">
        <v>170579199.46000043</v>
      </c>
      <c r="D24" s="479">
        <v>352795256</v>
      </c>
      <c r="E24" s="480">
        <f t="shared" si="1"/>
        <v>523374455.4600004</v>
      </c>
      <c r="F24" s="479">
        <v>123040014.8099999</v>
      </c>
      <c r="G24" s="479">
        <v>307051569.56999999</v>
      </c>
      <c r="H24" s="462">
        <f t="shared" si="0"/>
        <v>430091584.37999988</v>
      </c>
    </row>
    <row r="25" spans="1:8" ht="15.75">
      <c r="A25" s="74" t="s">
        <v>17</v>
      </c>
      <c r="B25" s="165" t="s">
        <v>77</v>
      </c>
      <c r="C25" s="479">
        <v>16034403.090000002</v>
      </c>
      <c r="D25" s="479">
        <v>37741245.860000014</v>
      </c>
      <c r="E25" s="480">
        <f t="shared" si="1"/>
        <v>53775648.950000018</v>
      </c>
      <c r="F25" s="479">
        <v>12429519.599999998</v>
      </c>
      <c r="G25" s="479">
        <v>17859626.280000001</v>
      </c>
      <c r="H25" s="462">
        <f t="shared" si="0"/>
        <v>30289145.879999999</v>
      </c>
    </row>
    <row r="26" spans="1:8" ht="15.75">
      <c r="A26" s="74" t="s">
        <v>18</v>
      </c>
      <c r="B26" s="165" t="s">
        <v>78</v>
      </c>
      <c r="C26" s="479">
        <v>81834849.219999924</v>
      </c>
      <c r="D26" s="479">
        <v>99798512.519999996</v>
      </c>
      <c r="E26" s="480">
        <f t="shared" si="1"/>
        <v>181633361.73999992</v>
      </c>
      <c r="F26" s="479">
        <v>54321344.709999993</v>
      </c>
      <c r="G26" s="479">
        <v>78064109.999999985</v>
      </c>
      <c r="H26" s="462">
        <f t="shared" si="0"/>
        <v>132385454.70999998</v>
      </c>
    </row>
    <row r="27" spans="1:8" ht="15.75">
      <c r="A27" s="74" t="s">
        <v>19</v>
      </c>
      <c r="B27" s="165" t="s">
        <v>79</v>
      </c>
      <c r="C27" s="479">
        <v>20415650.050000023</v>
      </c>
      <c r="D27" s="479">
        <v>105259219.44000007</v>
      </c>
      <c r="E27" s="480">
        <f t="shared" si="1"/>
        <v>125674869.4900001</v>
      </c>
      <c r="F27" s="479">
        <v>25802811.270000003</v>
      </c>
      <c r="G27" s="479">
        <v>109703301.20000003</v>
      </c>
      <c r="H27" s="462">
        <f t="shared" si="0"/>
        <v>135506112.47000003</v>
      </c>
    </row>
    <row r="28" spans="1:8" ht="15.75">
      <c r="A28" s="74">
        <v>5.4</v>
      </c>
      <c r="B28" s="204" t="s">
        <v>294</v>
      </c>
      <c r="C28" s="479">
        <v>20009772.599999998</v>
      </c>
      <c r="D28" s="479">
        <v>11572088.489999995</v>
      </c>
      <c r="E28" s="480">
        <f t="shared" si="1"/>
        <v>31581861.089999992</v>
      </c>
      <c r="F28" s="479">
        <v>14953293.49</v>
      </c>
      <c r="G28" s="479">
        <v>14776910.229999999</v>
      </c>
      <c r="H28" s="462">
        <f t="shared" si="0"/>
        <v>29730203.719999999</v>
      </c>
    </row>
    <row r="29" spans="1:8" ht="15.75">
      <c r="A29" s="74">
        <v>5.5</v>
      </c>
      <c r="B29" s="204" t="s">
        <v>295</v>
      </c>
      <c r="C29" s="479">
        <v>0</v>
      </c>
      <c r="D29" s="479">
        <v>0</v>
      </c>
      <c r="E29" s="480">
        <f t="shared" si="1"/>
        <v>0</v>
      </c>
      <c r="F29" s="479">
        <v>0</v>
      </c>
      <c r="G29" s="479">
        <v>0</v>
      </c>
      <c r="H29" s="462">
        <f t="shared" si="0"/>
        <v>0</v>
      </c>
    </row>
    <row r="30" spans="1:8" ht="15.75">
      <c r="A30" s="74">
        <v>5.6</v>
      </c>
      <c r="B30" s="204" t="s">
        <v>296</v>
      </c>
      <c r="C30" s="479">
        <v>0</v>
      </c>
      <c r="D30" s="479">
        <v>0</v>
      </c>
      <c r="E30" s="480">
        <f t="shared" si="1"/>
        <v>0</v>
      </c>
      <c r="F30" s="479">
        <v>0</v>
      </c>
      <c r="G30" s="479">
        <v>0</v>
      </c>
      <c r="H30" s="462">
        <f t="shared" si="0"/>
        <v>0</v>
      </c>
    </row>
    <row r="31" spans="1:8" ht="15.75">
      <c r="A31" s="74">
        <v>5.7</v>
      </c>
      <c r="B31" s="204" t="s">
        <v>79</v>
      </c>
      <c r="C31" s="479">
        <v>75041810.59999992</v>
      </c>
      <c r="D31" s="479">
        <v>11061158.310000004</v>
      </c>
      <c r="E31" s="480">
        <f t="shared" si="1"/>
        <v>86102968.909999922</v>
      </c>
      <c r="F31" s="479">
        <v>45419182.090000011</v>
      </c>
      <c r="G31" s="479">
        <v>11355306.469999999</v>
      </c>
      <c r="H31" s="462">
        <f t="shared" si="0"/>
        <v>56774488.56000001</v>
      </c>
    </row>
    <row r="32" spans="1:8" ht="15.75">
      <c r="A32" s="74">
        <v>6</v>
      </c>
      <c r="B32" s="164" t="s">
        <v>324</v>
      </c>
      <c r="C32" s="479">
        <v>13140160</v>
      </c>
      <c r="D32" s="479">
        <v>121332544.46000001</v>
      </c>
      <c r="E32" s="480">
        <f t="shared" si="1"/>
        <v>134472704.46000001</v>
      </c>
      <c r="F32" s="479">
        <v>13698269.199999999</v>
      </c>
      <c r="G32" s="479">
        <v>86054972.879999995</v>
      </c>
      <c r="H32" s="462">
        <f t="shared" si="0"/>
        <v>99753242.079999998</v>
      </c>
    </row>
    <row r="33" spans="1:8" ht="15.75">
      <c r="A33" s="74">
        <v>6.1</v>
      </c>
      <c r="B33" s="205" t="s">
        <v>314</v>
      </c>
      <c r="C33" s="479">
        <v>13140160</v>
      </c>
      <c r="D33" s="479">
        <v>54293163.93</v>
      </c>
      <c r="E33" s="480">
        <f t="shared" si="1"/>
        <v>67433323.930000007</v>
      </c>
      <c r="F33" s="479">
        <v>13698269.199999999</v>
      </c>
      <c r="G33" s="479">
        <v>36201290.880000003</v>
      </c>
      <c r="H33" s="462">
        <f t="shared" si="0"/>
        <v>49899560.079999998</v>
      </c>
    </row>
    <row r="34" spans="1:8" ht="15.75">
      <c r="A34" s="74">
        <v>6.2</v>
      </c>
      <c r="B34" s="205" t="s">
        <v>315</v>
      </c>
      <c r="C34" s="479">
        <v>0</v>
      </c>
      <c r="D34" s="479">
        <v>67039380.530000001</v>
      </c>
      <c r="E34" s="480">
        <f t="shared" si="1"/>
        <v>67039380.530000001</v>
      </c>
      <c r="F34" s="479">
        <v>0</v>
      </c>
      <c r="G34" s="479">
        <v>49853682</v>
      </c>
      <c r="H34" s="462">
        <f t="shared" si="0"/>
        <v>49853682</v>
      </c>
    </row>
    <row r="35" spans="1:8" ht="15.75">
      <c r="A35" s="74">
        <v>6.3</v>
      </c>
      <c r="B35" s="205" t="s">
        <v>311</v>
      </c>
      <c r="C35" s="479">
        <v>0</v>
      </c>
      <c r="D35" s="479">
        <v>0</v>
      </c>
      <c r="E35" s="480">
        <f t="shared" si="1"/>
        <v>0</v>
      </c>
      <c r="F35" s="479">
        <v>0</v>
      </c>
      <c r="G35" s="479">
        <v>0</v>
      </c>
      <c r="H35" s="462">
        <f t="shared" si="0"/>
        <v>0</v>
      </c>
    </row>
    <row r="36" spans="1:8" ht="15.75">
      <c r="A36" s="74">
        <v>6.4</v>
      </c>
      <c r="B36" s="205" t="s">
        <v>312</v>
      </c>
      <c r="C36" s="479">
        <v>0</v>
      </c>
      <c r="D36" s="479">
        <v>0</v>
      </c>
      <c r="E36" s="480">
        <f t="shared" si="1"/>
        <v>0</v>
      </c>
      <c r="F36" s="479">
        <v>0</v>
      </c>
      <c r="G36" s="479">
        <v>0</v>
      </c>
      <c r="H36" s="462">
        <f t="shared" si="0"/>
        <v>0</v>
      </c>
    </row>
    <row r="37" spans="1:8" ht="15.75">
      <c r="A37" s="74">
        <v>6.5</v>
      </c>
      <c r="B37" s="205" t="s">
        <v>313</v>
      </c>
      <c r="C37" s="479">
        <v>0</v>
      </c>
      <c r="D37" s="479">
        <v>0</v>
      </c>
      <c r="E37" s="480">
        <f t="shared" si="1"/>
        <v>0</v>
      </c>
      <c r="F37" s="479">
        <v>0</v>
      </c>
      <c r="G37" s="479">
        <v>0</v>
      </c>
      <c r="H37" s="462">
        <f t="shared" si="0"/>
        <v>0</v>
      </c>
    </row>
    <row r="38" spans="1:8" ht="15.75">
      <c r="A38" s="74">
        <v>6.6</v>
      </c>
      <c r="B38" s="205" t="s">
        <v>316</v>
      </c>
      <c r="C38" s="479">
        <v>0</v>
      </c>
      <c r="D38" s="479">
        <v>0</v>
      </c>
      <c r="E38" s="480">
        <f t="shared" si="1"/>
        <v>0</v>
      </c>
      <c r="F38" s="479">
        <v>0</v>
      </c>
      <c r="G38" s="479">
        <v>0</v>
      </c>
      <c r="H38" s="462">
        <f t="shared" si="0"/>
        <v>0</v>
      </c>
    </row>
    <row r="39" spans="1:8" ht="15.75">
      <c r="A39" s="74">
        <v>6.7</v>
      </c>
      <c r="B39" s="205" t="s">
        <v>317</v>
      </c>
      <c r="C39" s="479">
        <v>0</v>
      </c>
      <c r="D39" s="479">
        <v>0</v>
      </c>
      <c r="E39" s="480">
        <f t="shared" si="1"/>
        <v>0</v>
      </c>
      <c r="F39" s="479">
        <v>0</v>
      </c>
      <c r="G39" s="479">
        <v>0</v>
      </c>
      <c r="H39" s="462">
        <f t="shared" si="0"/>
        <v>0</v>
      </c>
    </row>
    <row r="40" spans="1:8" ht="15.75">
      <c r="A40" s="74">
        <v>7</v>
      </c>
      <c r="B40" s="164" t="s">
        <v>320</v>
      </c>
      <c r="C40" s="479">
        <v>0</v>
      </c>
      <c r="D40" s="479">
        <v>0</v>
      </c>
      <c r="E40" s="480">
        <f t="shared" si="1"/>
        <v>0</v>
      </c>
      <c r="F40" s="479">
        <v>0</v>
      </c>
      <c r="G40" s="479">
        <v>0</v>
      </c>
      <c r="H40" s="462">
        <f t="shared" si="0"/>
        <v>0</v>
      </c>
    </row>
    <row r="41" spans="1:8" ht="15.75">
      <c r="A41" s="74">
        <v>7.1</v>
      </c>
      <c r="B41" s="163" t="s">
        <v>321</v>
      </c>
      <c r="C41" s="479">
        <v>286784.93999999994</v>
      </c>
      <c r="D41" s="479">
        <v>574117.15150000004</v>
      </c>
      <c r="E41" s="480">
        <f t="shared" si="1"/>
        <v>860902.09149999998</v>
      </c>
      <c r="F41" s="479">
        <v>1252867.6500000006</v>
      </c>
      <c r="G41" s="479">
        <v>14122.345300000001</v>
      </c>
      <c r="H41" s="462">
        <f t="shared" si="0"/>
        <v>1266989.9953000005</v>
      </c>
    </row>
    <row r="42" spans="1:8" ht="25.5">
      <c r="A42" s="74">
        <v>7.2</v>
      </c>
      <c r="B42" s="163" t="s">
        <v>322</v>
      </c>
      <c r="C42" s="479">
        <v>656612.76000000024</v>
      </c>
      <c r="D42" s="479">
        <v>916961.6446</v>
      </c>
      <c r="E42" s="480">
        <f t="shared" si="1"/>
        <v>1573574.4046000002</v>
      </c>
      <c r="F42" s="479">
        <v>804742.64999999967</v>
      </c>
      <c r="G42" s="479">
        <v>869576.73060000013</v>
      </c>
      <c r="H42" s="462">
        <f t="shared" si="0"/>
        <v>1674319.3805999998</v>
      </c>
    </row>
    <row r="43" spans="1:8" ht="25.5">
      <c r="A43" s="74">
        <v>7.3</v>
      </c>
      <c r="B43" s="163" t="s">
        <v>325</v>
      </c>
      <c r="C43" s="479">
        <v>5593699.0855000187</v>
      </c>
      <c r="D43" s="479">
        <v>17966659.055600006</v>
      </c>
      <c r="E43" s="480">
        <f t="shared" si="1"/>
        <v>23560358.141100027</v>
      </c>
      <c r="F43" s="479">
        <v>5824271.9300000109</v>
      </c>
      <c r="G43" s="479">
        <v>16875403.720100004</v>
      </c>
      <c r="H43" s="462">
        <f t="shared" si="0"/>
        <v>22699675.650100015</v>
      </c>
    </row>
    <row r="44" spans="1:8" ht="25.5">
      <c r="A44" s="74">
        <v>7.4</v>
      </c>
      <c r="B44" s="163" t="s">
        <v>326</v>
      </c>
      <c r="C44" s="479">
        <v>9860210.9200000167</v>
      </c>
      <c r="D44" s="479">
        <v>51125298.037699997</v>
      </c>
      <c r="E44" s="480">
        <f t="shared" si="1"/>
        <v>60985508.957700014</v>
      </c>
      <c r="F44" s="479">
        <v>11974231.789999999</v>
      </c>
      <c r="G44" s="479">
        <v>54041423.397899941</v>
      </c>
      <c r="H44" s="462">
        <f t="shared" si="0"/>
        <v>66015655.18789994</v>
      </c>
    </row>
    <row r="45" spans="1:8" ht="15.75">
      <c r="A45" s="74">
        <v>8</v>
      </c>
      <c r="B45" s="164" t="s">
        <v>303</v>
      </c>
      <c r="C45" s="479">
        <v>0</v>
      </c>
      <c r="D45" s="479">
        <v>0</v>
      </c>
      <c r="E45" s="480">
        <f t="shared" si="1"/>
        <v>0</v>
      </c>
      <c r="F45" s="479">
        <v>0</v>
      </c>
      <c r="G45" s="479">
        <v>0</v>
      </c>
      <c r="H45" s="462">
        <f t="shared" si="0"/>
        <v>0</v>
      </c>
    </row>
    <row r="46" spans="1:8" ht="15.75">
      <c r="A46" s="74">
        <v>8.1</v>
      </c>
      <c r="B46" s="203" t="s">
        <v>327</v>
      </c>
      <c r="C46" s="479">
        <v>0</v>
      </c>
      <c r="D46" s="479">
        <v>0</v>
      </c>
      <c r="E46" s="480">
        <f t="shared" si="1"/>
        <v>0</v>
      </c>
      <c r="F46" s="479">
        <v>0</v>
      </c>
      <c r="G46" s="479">
        <v>0</v>
      </c>
      <c r="H46" s="462">
        <f t="shared" si="0"/>
        <v>0</v>
      </c>
    </row>
    <row r="47" spans="1:8" ht="15.75">
      <c r="A47" s="74">
        <v>8.1999999999999993</v>
      </c>
      <c r="B47" s="203" t="s">
        <v>328</v>
      </c>
      <c r="C47" s="479">
        <v>0</v>
      </c>
      <c r="D47" s="479">
        <v>0</v>
      </c>
      <c r="E47" s="480">
        <f t="shared" si="1"/>
        <v>0</v>
      </c>
      <c r="F47" s="479">
        <v>0</v>
      </c>
      <c r="G47" s="479">
        <v>0</v>
      </c>
      <c r="H47" s="462">
        <f t="shared" si="0"/>
        <v>0</v>
      </c>
    </row>
    <row r="48" spans="1:8" ht="15.75">
      <c r="A48" s="74">
        <v>8.3000000000000007</v>
      </c>
      <c r="B48" s="203" t="s">
        <v>329</v>
      </c>
      <c r="C48" s="479">
        <v>0</v>
      </c>
      <c r="D48" s="479">
        <v>0</v>
      </c>
      <c r="E48" s="480">
        <f t="shared" si="1"/>
        <v>0</v>
      </c>
      <c r="F48" s="479">
        <v>0</v>
      </c>
      <c r="G48" s="479">
        <v>0</v>
      </c>
      <c r="H48" s="462">
        <f t="shared" si="0"/>
        <v>0</v>
      </c>
    </row>
    <row r="49" spans="1:8" ht="15.75">
      <c r="A49" s="74">
        <v>8.4</v>
      </c>
      <c r="B49" s="203" t="s">
        <v>330</v>
      </c>
      <c r="C49" s="479">
        <v>0</v>
      </c>
      <c r="D49" s="479">
        <v>0</v>
      </c>
      <c r="E49" s="480">
        <f t="shared" si="1"/>
        <v>0</v>
      </c>
      <c r="F49" s="479">
        <v>0</v>
      </c>
      <c r="G49" s="479">
        <v>0</v>
      </c>
      <c r="H49" s="462">
        <f t="shared" si="0"/>
        <v>0</v>
      </c>
    </row>
    <row r="50" spans="1:8" ht="15.75">
      <c r="A50" s="74">
        <v>8.5</v>
      </c>
      <c r="B50" s="203" t="s">
        <v>331</v>
      </c>
      <c r="C50" s="479">
        <v>0</v>
      </c>
      <c r="D50" s="479">
        <v>0</v>
      </c>
      <c r="E50" s="480">
        <f t="shared" si="1"/>
        <v>0</v>
      </c>
      <c r="F50" s="479">
        <v>0</v>
      </c>
      <c r="G50" s="479">
        <v>0</v>
      </c>
      <c r="H50" s="462">
        <f t="shared" si="0"/>
        <v>0</v>
      </c>
    </row>
    <row r="51" spans="1:8" ht="15.75">
      <c r="A51" s="74">
        <v>8.6</v>
      </c>
      <c r="B51" s="203" t="s">
        <v>332</v>
      </c>
      <c r="C51" s="479">
        <v>0</v>
      </c>
      <c r="D51" s="479">
        <v>0</v>
      </c>
      <c r="E51" s="480">
        <f t="shared" si="1"/>
        <v>0</v>
      </c>
      <c r="F51" s="479">
        <v>0</v>
      </c>
      <c r="G51" s="479">
        <v>0</v>
      </c>
      <c r="H51" s="462">
        <f t="shared" si="0"/>
        <v>0</v>
      </c>
    </row>
    <row r="52" spans="1:8" ht="15.75">
      <c r="A52" s="74">
        <v>8.6999999999999993</v>
      </c>
      <c r="B52" s="203" t="s">
        <v>333</v>
      </c>
      <c r="C52" s="479">
        <v>0</v>
      </c>
      <c r="D52" s="479">
        <v>0</v>
      </c>
      <c r="E52" s="480">
        <f t="shared" si="1"/>
        <v>0</v>
      </c>
      <c r="F52" s="479">
        <v>0</v>
      </c>
      <c r="G52" s="479">
        <v>0</v>
      </c>
      <c r="H52" s="462">
        <f t="shared" si="0"/>
        <v>0</v>
      </c>
    </row>
    <row r="53" spans="1:8" ht="16.5" thickBot="1">
      <c r="A53" s="166">
        <v>9</v>
      </c>
      <c r="B53" s="167" t="s">
        <v>323</v>
      </c>
      <c r="C53" s="481">
        <v>0</v>
      </c>
      <c r="D53" s="481">
        <v>0</v>
      </c>
      <c r="E53" s="482">
        <f t="shared" si="1"/>
        <v>0</v>
      </c>
      <c r="F53" s="481">
        <v>0</v>
      </c>
      <c r="G53" s="481">
        <v>0</v>
      </c>
      <c r="H53" s="46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G11" sqref="G11"/>
    </sheetView>
  </sheetViews>
  <sheetFormatPr defaultColWidth="9.140625" defaultRowHeight="12.75"/>
  <cols>
    <col min="1" max="1" width="9.5703125" style="4" bestFit="1" customWidth="1"/>
    <col min="2" max="2" width="93.5703125" style="4" customWidth="1"/>
    <col min="3" max="4" width="10.7109375" style="4" customWidth="1"/>
    <col min="5" max="6" width="10.85546875" style="30" bestFit="1" customWidth="1"/>
    <col min="7" max="11" width="9.7109375" style="30" customWidth="1"/>
    <col min="12" max="16384" width="9.140625" style="30"/>
  </cols>
  <sheetData>
    <row r="1" spans="1:7">
      <c r="A1" s="2" t="s">
        <v>30</v>
      </c>
      <c r="B1" s="3" t="str">
        <f>'Info '!C2</f>
        <v>Terabank</v>
      </c>
      <c r="C1" s="3"/>
    </row>
    <row r="2" spans="1:7">
      <c r="A2" s="2" t="s">
        <v>31</v>
      </c>
      <c r="B2" s="340">
        <v>44377</v>
      </c>
      <c r="C2" s="3"/>
    </row>
    <row r="3" spans="1:7">
      <c r="A3" s="2"/>
      <c r="B3" s="3"/>
      <c r="C3" s="3"/>
    </row>
    <row r="4" spans="1:7" ht="15" customHeight="1" thickBot="1">
      <c r="A4" s="4" t="s">
        <v>198</v>
      </c>
      <c r="B4" s="125" t="s">
        <v>297</v>
      </c>
      <c r="C4" s="48" t="s">
        <v>73</v>
      </c>
    </row>
    <row r="5" spans="1:7" ht="15" customHeight="1">
      <c r="A5" s="190" t="s">
        <v>6</v>
      </c>
      <c r="B5" s="191"/>
      <c r="C5" s="338" t="str">
        <f>INT((MONTH($B$2))/3)&amp;"Q"&amp;"-"&amp;YEAR($B$2)</f>
        <v>2Q-2021</v>
      </c>
      <c r="D5" s="338" t="str">
        <f>IF(INT(MONTH($B$2))=3, "4"&amp;"Q"&amp;"-"&amp;YEAR($B$2)-1, IF(INT(MONTH($B$2))=6, "1"&amp;"Q"&amp;"-"&amp;YEAR($B$2), IF(INT(MONTH($B$2))=9, "2"&amp;"Q"&amp;"-"&amp;YEAR($B$2),IF(INT(MONTH($B$2))=12, "3"&amp;"Q"&amp;"-"&amp;YEAR($B$2), 0))))</f>
        <v>1Q-2021</v>
      </c>
      <c r="E5" s="338" t="str">
        <f>IF(INT(MONTH($B$2))=3, "3"&amp;"Q"&amp;"-"&amp;YEAR($B$2)-1, IF(INT(MONTH($B$2))=6, "4"&amp;"Q"&amp;"-"&amp;YEAR($B$2)-1, IF(INT(MONTH($B$2))=9, "1"&amp;"Q"&amp;"-"&amp;YEAR($B$2),IF(INT(MONTH($B$2))=12, "2"&amp;"Q"&amp;"-"&amp;YEAR($B$2), 0))))</f>
        <v>4Q-2020</v>
      </c>
      <c r="F5" s="338" t="str">
        <f>IF(INT(MONTH($B$2))=3, "2"&amp;"Q"&amp;"-"&amp;YEAR($B$2)-1, IF(INT(MONTH($B$2))=6, "3"&amp;"Q"&amp;"-"&amp;YEAR($B$2)-1, IF(INT(MONTH($B$2))=9, "4"&amp;"Q"&amp;"-"&amp;YEAR($B$2)-1,IF(INT(MONTH($B$2))=12, "1"&amp;"Q"&amp;"-"&amp;YEAR($B$2), 0))))</f>
        <v>3Q-2020</v>
      </c>
      <c r="G5" s="339" t="str">
        <f>IF(INT(MONTH($B$2))=3, "1"&amp;"Q"&amp;"-"&amp;YEAR($B$2)-1, IF(INT(MONTH($B$2))=6, "2"&amp;"Q"&amp;"-"&amp;YEAR($B$2)-1, IF(INT(MONTH($B$2))=9, "3"&amp;"Q"&amp;"-"&amp;YEAR($B$2)-1,IF(INT(MONTH($B$2))=12, "4"&amp;"Q"&amp;"-"&amp;YEAR($B$2)-1, 0))))</f>
        <v>2Q-2020</v>
      </c>
    </row>
    <row r="6" spans="1:7" ht="15" customHeight="1">
      <c r="A6" s="49">
        <v>1</v>
      </c>
      <c r="B6" s="278" t="s">
        <v>301</v>
      </c>
      <c r="C6" s="483">
        <f>C7+C9+C10</f>
        <v>979824384.03484762</v>
      </c>
      <c r="D6" s="484">
        <f>D7+D9+D10</f>
        <v>1008764060.0202504</v>
      </c>
      <c r="E6" s="280">
        <f t="shared" ref="E6:G6" si="0">E7+E9+E10</f>
        <v>936027383.49900103</v>
      </c>
      <c r="F6" s="483">
        <f t="shared" si="0"/>
        <v>935764698.66924989</v>
      </c>
      <c r="G6" s="335">
        <f t="shared" si="0"/>
        <v>827944616.15124869</v>
      </c>
    </row>
    <row r="7" spans="1:7" ht="15" customHeight="1">
      <c r="A7" s="49">
        <v>1.1000000000000001</v>
      </c>
      <c r="B7" s="278" t="s">
        <v>481</v>
      </c>
      <c r="C7" s="485">
        <v>954145441.56349766</v>
      </c>
      <c r="D7" s="486">
        <v>984392231.6705004</v>
      </c>
      <c r="E7" s="485">
        <v>911613986.37750101</v>
      </c>
      <c r="F7" s="485">
        <v>913548060.09149981</v>
      </c>
      <c r="G7" s="336">
        <v>807035272.63699865</v>
      </c>
    </row>
    <row r="8" spans="1:7">
      <c r="A8" s="49" t="s">
        <v>14</v>
      </c>
      <c r="B8" s="278" t="s">
        <v>197</v>
      </c>
      <c r="C8" s="485">
        <v>0</v>
      </c>
      <c r="D8" s="486">
        <v>0</v>
      </c>
      <c r="E8" s="485">
        <v>0</v>
      </c>
      <c r="F8" s="485">
        <v>0</v>
      </c>
      <c r="G8" s="336">
        <v>0</v>
      </c>
    </row>
    <row r="9" spans="1:7" ht="15" customHeight="1">
      <c r="A9" s="49">
        <v>1.2</v>
      </c>
      <c r="B9" s="279" t="s">
        <v>196</v>
      </c>
      <c r="C9" s="485">
        <v>24338154.86074999</v>
      </c>
      <c r="D9" s="486">
        <v>22815019.853749998</v>
      </c>
      <c r="E9" s="485">
        <v>22852479.733499989</v>
      </c>
      <c r="F9" s="485">
        <v>20669861.617749996</v>
      </c>
      <c r="G9" s="336">
        <v>19912269.87425001</v>
      </c>
    </row>
    <row r="10" spans="1:7" ht="15" customHeight="1">
      <c r="A10" s="49">
        <v>1.3</v>
      </c>
      <c r="B10" s="278" t="s">
        <v>28</v>
      </c>
      <c r="C10" s="485">
        <v>1340787.6106</v>
      </c>
      <c r="D10" s="486">
        <v>1556808.496</v>
      </c>
      <c r="E10" s="485">
        <v>1560917.388</v>
      </c>
      <c r="F10" s="485">
        <v>1546776.96</v>
      </c>
      <c r="G10" s="336">
        <v>997073.64</v>
      </c>
    </row>
    <row r="11" spans="1:7" ht="15" customHeight="1">
      <c r="A11" s="49">
        <v>2</v>
      </c>
      <c r="B11" s="278" t="s">
        <v>298</v>
      </c>
      <c r="C11" s="485">
        <v>26502380.349999961</v>
      </c>
      <c r="D11" s="486">
        <v>25453609.059999939</v>
      </c>
      <c r="E11" s="485">
        <v>24635876.009999685</v>
      </c>
      <c r="F11" s="485">
        <v>24977298.170000218</v>
      </c>
      <c r="G11" s="336">
        <v>23259196.719999805</v>
      </c>
    </row>
    <row r="12" spans="1:7" ht="15" customHeight="1">
      <c r="A12" s="49">
        <v>3</v>
      </c>
      <c r="B12" s="278" t="s">
        <v>299</v>
      </c>
      <c r="C12" s="485">
        <v>99313156.550000012</v>
      </c>
      <c r="D12" s="486">
        <v>99313156.550000012</v>
      </c>
      <c r="E12" s="485">
        <v>99313156.550000012</v>
      </c>
      <c r="F12" s="485">
        <v>93832535.96875</v>
      </c>
      <c r="G12" s="336">
        <v>93832535.96875</v>
      </c>
    </row>
    <row r="13" spans="1:7" ht="15" customHeight="1" thickBot="1">
      <c r="A13" s="51">
        <v>4</v>
      </c>
      <c r="B13" s="52" t="s">
        <v>300</v>
      </c>
      <c r="C13" s="281">
        <f>C6+C11+C12</f>
        <v>1105639920.9348476</v>
      </c>
      <c r="D13" s="334">
        <f>D6+D11+D12</f>
        <v>1133530825.6302505</v>
      </c>
      <c r="E13" s="282">
        <f t="shared" ref="E13:G13" si="1">E6+E11+E12</f>
        <v>1059976416.0590007</v>
      </c>
      <c r="F13" s="281">
        <f t="shared" si="1"/>
        <v>1054574532.8080001</v>
      </c>
      <c r="G13" s="337">
        <f t="shared" si="1"/>
        <v>945036348.83999848</v>
      </c>
    </row>
    <row r="14" spans="1:7">
      <c r="B14" s="55"/>
    </row>
    <row r="15" spans="1:7" ht="25.5">
      <c r="B15" s="55" t="s">
        <v>482</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5"/>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3" sqref="B23"/>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3">
      <c r="A1" s="2" t="s">
        <v>30</v>
      </c>
      <c r="B1" s="3" t="str">
        <f>'Info '!C2</f>
        <v>Terabank</v>
      </c>
    </row>
    <row r="2" spans="1:3">
      <c r="A2" s="2" t="s">
        <v>31</v>
      </c>
      <c r="B2" s="340">
        <v>44377</v>
      </c>
    </row>
    <row r="4" spans="1:3" ht="27.95" customHeight="1" thickBot="1">
      <c r="A4" s="56" t="s">
        <v>80</v>
      </c>
      <c r="B4" s="57" t="s">
        <v>267</v>
      </c>
      <c r="C4" s="58"/>
    </row>
    <row r="5" spans="1:3">
      <c r="A5" s="59"/>
      <c r="B5" s="329" t="s">
        <v>81</v>
      </c>
      <c r="C5" s="330" t="s">
        <v>495</v>
      </c>
    </row>
    <row r="6" spans="1:3">
      <c r="A6" s="60">
        <v>1</v>
      </c>
      <c r="B6" s="487" t="s">
        <v>721</v>
      </c>
      <c r="C6" s="488" t="s">
        <v>722</v>
      </c>
    </row>
    <row r="7" spans="1:3">
      <c r="A7" s="60">
        <v>2</v>
      </c>
      <c r="B7" s="487" t="s">
        <v>723</v>
      </c>
      <c r="C7" s="488" t="s">
        <v>724</v>
      </c>
    </row>
    <row r="8" spans="1:3">
      <c r="A8" s="60">
        <v>3</v>
      </c>
      <c r="B8" s="487" t="s">
        <v>725</v>
      </c>
      <c r="C8" s="488" t="s">
        <v>724</v>
      </c>
    </row>
    <row r="9" spans="1:3">
      <c r="A9" s="60">
        <v>4</v>
      </c>
      <c r="B9" s="487" t="s">
        <v>726</v>
      </c>
      <c r="C9" s="488" t="s">
        <v>727</v>
      </c>
    </row>
    <row r="10" spans="1:3">
      <c r="A10" s="60">
        <v>5</v>
      </c>
      <c r="B10" s="487" t="s">
        <v>728</v>
      </c>
      <c r="C10" s="488" t="s">
        <v>727</v>
      </c>
    </row>
    <row r="11" spans="1:3">
      <c r="A11" s="60">
        <v>6</v>
      </c>
      <c r="B11" s="487" t="s">
        <v>729</v>
      </c>
      <c r="C11" s="488" t="s">
        <v>727</v>
      </c>
    </row>
    <row r="12" spans="1:3">
      <c r="A12" s="60"/>
      <c r="B12" s="487"/>
      <c r="C12" s="488"/>
    </row>
    <row r="13" spans="1:3">
      <c r="A13" s="60"/>
      <c r="B13" s="331"/>
      <c r="C13" s="332"/>
    </row>
    <row r="14" spans="1:3" ht="25.5">
      <c r="A14" s="60"/>
      <c r="B14" s="173" t="s">
        <v>82</v>
      </c>
      <c r="C14" s="333" t="s">
        <v>496</v>
      </c>
    </row>
    <row r="15" spans="1:3">
      <c r="A15" s="60">
        <v>1</v>
      </c>
      <c r="B15" s="487" t="s">
        <v>730</v>
      </c>
      <c r="C15" s="531" t="s">
        <v>731</v>
      </c>
    </row>
    <row r="16" spans="1:3">
      <c r="A16" s="60">
        <v>2</v>
      </c>
      <c r="B16" s="487" t="s">
        <v>732</v>
      </c>
      <c r="C16" s="531" t="s">
        <v>733</v>
      </c>
    </row>
    <row r="17" spans="1:3">
      <c r="A17" s="60">
        <v>3</v>
      </c>
      <c r="B17" s="487" t="s">
        <v>734</v>
      </c>
      <c r="C17" s="531" t="s">
        <v>735</v>
      </c>
    </row>
    <row r="18" spans="1:3">
      <c r="A18" s="60">
        <v>4</v>
      </c>
      <c r="B18" s="487" t="s">
        <v>736</v>
      </c>
      <c r="C18" s="531" t="s">
        <v>737</v>
      </c>
    </row>
    <row r="19" spans="1:3">
      <c r="A19" s="60">
        <v>5</v>
      </c>
      <c r="B19" s="487" t="s">
        <v>738</v>
      </c>
      <c r="C19" s="531" t="s">
        <v>739</v>
      </c>
    </row>
    <row r="20" spans="1:3" ht="15.75" customHeight="1">
      <c r="A20" s="60"/>
      <c r="B20" s="61"/>
      <c r="C20" s="63"/>
    </row>
    <row r="21" spans="1:3" ht="30" customHeight="1">
      <c r="A21" s="60"/>
      <c r="B21" s="623" t="s">
        <v>83</v>
      </c>
      <c r="C21" s="624"/>
    </row>
    <row r="22" spans="1:3" ht="15.75">
      <c r="A22" s="60">
        <v>1</v>
      </c>
      <c r="B22" s="487" t="s">
        <v>719</v>
      </c>
      <c r="C22" s="492">
        <v>0.65</v>
      </c>
    </row>
    <row r="23" spans="1:3" ht="15.75">
      <c r="A23" s="60">
        <v>2</v>
      </c>
      <c r="B23" s="487" t="s">
        <v>740</v>
      </c>
      <c r="C23" s="492">
        <v>0.15</v>
      </c>
    </row>
    <row r="24" spans="1:3" ht="15.75">
      <c r="A24" s="60">
        <v>3</v>
      </c>
      <c r="B24" s="487" t="s">
        <v>741</v>
      </c>
      <c r="C24" s="492">
        <v>0.15</v>
      </c>
    </row>
    <row r="25" spans="1:3" ht="15.75">
      <c r="A25" s="60">
        <v>4</v>
      </c>
      <c r="B25" s="487" t="s">
        <v>742</v>
      </c>
      <c r="C25" s="492">
        <v>0.05</v>
      </c>
    </row>
    <row r="26" spans="1:3">
      <c r="A26" s="60"/>
      <c r="B26" s="487"/>
      <c r="C26" s="488"/>
    </row>
    <row r="27" spans="1:3" ht="15.75" customHeight="1">
      <c r="A27" s="60"/>
      <c r="B27" s="61"/>
      <c r="C27" s="62"/>
    </row>
    <row r="28" spans="1:3" ht="29.25" customHeight="1">
      <c r="A28" s="60"/>
      <c r="B28" s="623" t="s">
        <v>84</v>
      </c>
      <c r="C28" s="624"/>
    </row>
    <row r="29" spans="1:3" ht="15.75">
      <c r="A29" s="60">
        <v>1</v>
      </c>
      <c r="B29" s="487" t="s">
        <v>719</v>
      </c>
      <c r="C29" s="492">
        <v>0.65</v>
      </c>
    </row>
    <row r="30" spans="1:3" ht="15.75">
      <c r="A30" s="489">
        <v>2</v>
      </c>
      <c r="B30" s="490" t="s">
        <v>740</v>
      </c>
      <c r="C30" s="493">
        <v>0.15</v>
      </c>
    </row>
    <row r="31" spans="1:3" ht="15.75">
      <c r="A31" s="489">
        <v>3</v>
      </c>
      <c r="B31" s="490" t="s">
        <v>741</v>
      </c>
      <c r="C31" s="493">
        <v>0.15</v>
      </c>
    </row>
    <row r="32" spans="1:3" ht="15.75">
      <c r="A32" s="489">
        <v>4</v>
      </c>
      <c r="B32" s="490" t="s">
        <v>742</v>
      </c>
      <c r="C32" s="493">
        <v>0.05</v>
      </c>
    </row>
    <row r="33" spans="1:3">
      <c r="A33" s="489"/>
      <c r="B33" s="490"/>
      <c r="C33" s="491"/>
    </row>
    <row r="34" spans="1:3">
      <c r="A34" s="489"/>
      <c r="B34" s="490"/>
      <c r="C34" s="491"/>
    </row>
    <row r="35" spans="1:3" ht="15" thickBot="1">
      <c r="A35" s="64"/>
      <c r="B35" s="65"/>
      <c r="C35" s="66"/>
    </row>
  </sheetData>
  <mergeCells count="2">
    <mergeCell ref="B28:C28"/>
    <mergeCell ref="B21:C21"/>
  </mergeCells>
  <dataValidations count="1">
    <dataValidation type="list" allowBlank="1" showInputMessage="1" showErrorMessage="1" sqref="C6:C12"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D13" sqref="D13"/>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54" t="s">
        <v>30</v>
      </c>
      <c r="B1" s="3" t="str">
        <f>'Info '!C2</f>
        <v>Terabank</v>
      </c>
    </row>
    <row r="2" spans="1:5" s="2" customFormat="1" ht="15.75" customHeight="1">
      <c r="A2" s="54" t="s">
        <v>31</v>
      </c>
      <c r="B2" s="340">
        <v>44377</v>
      </c>
    </row>
    <row r="3" spans="1:5" s="2" customFormat="1" ht="15.75" customHeight="1">
      <c r="A3" s="54"/>
    </row>
    <row r="4" spans="1:5" s="2" customFormat="1" ht="15.75" customHeight="1" thickBot="1">
      <c r="A4" s="228" t="s">
        <v>202</v>
      </c>
      <c r="B4" s="629" t="s">
        <v>347</v>
      </c>
      <c r="C4" s="630"/>
      <c r="D4" s="630"/>
      <c r="E4" s="630"/>
    </row>
    <row r="5" spans="1:5" s="70" customFormat="1" ht="17.45" customHeight="1">
      <c r="A5" s="178"/>
      <c r="B5" s="179"/>
      <c r="C5" s="68" t="s">
        <v>0</v>
      </c>
      <c r="D5" s="68" t="s">
        <v>1</v>
      </c>
      <c r="E5" s="69" t="s">
        <v>2</v>
      </c>
    </row>
    <row r="6" spans="1:5" ht="14.45" customHeight="1">
      <c r="A6" s="136"/>
      <c r="B6" s="625" t="s">
        <v>354</v>
      </c>
      <c r="C6" s="625" t="s">
        <v>93</v>
      </c>
      <c r="D6" s="627" t="s">
        <v>201</v>
      </c>
      <c r="E6" s="628"/>
    </row>
    <row r="7" spans="1:5" ht="99.6" customHeight="1">
      <c r="A7" s="136"/>
      <c r="B7" s="626"/>
      <c r="C7" s="625"/>
      <c r="D7" s="261" t="s">
        <v>200</v>
      </c>
      <c r="E7" s="262" t="s">
        <v>355</v>
      </c>
    </row>
    <row r="8" spans="1:5">
      <c r="A8" s="71">
        <v>1</v>
      </c>
      <c r="B8" s="263" t="s">
        <v>35</v>
      </c>
      <c r="C8" s="494">
        <v>43366972.600000016</v>
      </c>
      <c r="D8" s="494">
        <v>0</v>
      </c>
      <c r="E8" s="495">
        <v>43366972.600000016</v>
      </c>
    </row>
    <row r="9" spans="1:5">
      <c r="A9" s="71">
        <v>2</v>
      </c>
      <c r="B9" s="263" t="s">
        <v>36</v>
      </c>
      <c r="C9" s="494">
        <v>172709662.09</v>
      </c>
      <c r="D9" s="494">
        <v>0</v>
      </c>
      <c r="E9" s="495">
        <v>172709662.09</v>
      </c>
    </row>
    <row r="10" spans="1:5">
      <c r="A10" s="71">
        <v>3</v>
      </c>
      <c r="B10" s="263" t="s">
        <v>37</v>
      </c>
      <c r="C10" s="494">
        <v>23184269.640000001</v>
      </c>
      <c r="D10" s="494">
        <v>0</v>
      </c>
      <c r="E10" s="495">
        <v>23184269.640000001</v>
      </c>
    </row>
    <row r="11" spans="1:5">
      <c r="A11" s="71">
        <v>4</v>
      </c>
      <c r="B11" s="263" t="s">
        <v>38</v>
      </c>
      <c r="C11" s="494">
        <v>0</v>
      </c>
      <c r="D11" s="494">
        <v>0</v>
      </c>
      <c r="E11" s="495">
        <v>0</v>
      </c>
    </row>
    <row r="12" spans="1:5">
      <c r="A12" s="71">
        <v>5</v>
      </c>
      <c r="B12" s="263" t="s">
        <v>39</v>
      </c>
      <c r="C12" s="494">
        <v>122129070.13</v>
      </c>
      <c r="D12" s="494">
        <v>0</v>
      </c>
      <c r="E12" s="495">
        <v>122129070.13</v>
      </c>
    </row>
    <row r="13" spans="1:5">
      <c r="A13" s="71">
        <v>6.1</v>
      </c>
      <c r="B13" s="264" t="s">
        <v>40</v>
      </c>
      <c r="C13" s="496">
        <v>949967386.11999881</v>
      </c>
      <c r="D13" s="494">
        <v>0</v>
      </c>
      <c r="E13" s="495">
        <v>949967386.11999881</v>
      </c>
    </row>
    <row r="14" spans="1:5">
      <c r="A14" s="71">
        <v>6.2</v>
      </c>
      <c r="B14" s="265" t="s">
        <v>41</v>
      </c>
      <c r="C14" s="496">
        <v>53338051.870000102</v>
      </c>
      <c r="D14" s="494">
        <v>0</v>
      </c>
      <c r="E14" s="495">
        <v>53338051.870000102</v>
      </c>
    </row>
    <row r="15" spans="1:5">
      <c r="A15" s="71">
        <v>6</v>
      </c>
      <c r="B15" s="263" t="s">
        <v>42</v>
      </c>
      <c r="C15" s="494">
        <v>896629334.24999869</v>
      </c>
      <c r="D15" s="494">
        <v>0</v>
      </c>
      <c r="E15" s="495">
        <v>896629334.24999869</v>
      </c>
    </row>
    <row r="16" spans="1:5">
      <c r="A16" s="71">
        <v>7</v>
      </c>
      <c r="B16" s="263" t="s">
        <v>43</v>
      </c>
      <c r="C16" s="494">
        <v>13697081.599999959</v>
      </c>
      <c r="D16" s="494">
        <v>0</v>
      </c>
      <c r="E16" s="495">
        <v>13697081.599999959</v>
      </c>
    </row>
    <row r="17" spans="1:7">
      <c r="A17" s="71">
        <v>8</v>
      </c>
      <c r="B17" s="263" t="s">
        <v>199</v>
      </c>
      <c r="C17" s="494">
        <v>3070297.77000002</v>
      </c>
      <c r="D17" s="494">
        <v>0</v>
      </c>
      <c r="E17" s="495">
        <v>3070297.77000002</v>
      </c>
      <c r="F17" s="72"/>
      <c r="G17" s="72"/>
    </row>
    <row r="18" spans="1:7">
      <c r="A18" s="71">
        <v>9</v>
      </c>
      <c r="B18" s="263" t="s">
        <v>44</v>
      </c>
      <c r="C18" s="494">
        <v>0</v>
      </c>
      <c r="D18" s="494">
        <v>0</v>
      </c>
      <c r="E18" s="495">
        <v>0</v>
      </c>
      <c r="G18" s="72"/>
    </row>
    <row r="19" spans="1:7">
      <c r="A19" s="71">
        <v>10</v>
      </c>
      <c r="B19" s="263" t="s">
        <v>45</v>
      </c>
      <c r="C19" s="494">
        <v>46329030.339999989</v>
      </c>
      <c r="D19" s="494">
        <v>22987679</v>
      </c>
      <c r="E19" s="495">
        <v>23341351.339999989</v>
      </c>
      <c r="G19" s="72"/>
    </row>
    <row r="20" spans="1:7">
      <c r="A20" s="71">
        <v>11</v>
      </c>
      <c r="B20" s="263" t="s">
        <v>46</v>
      </c>
      <c r="C20" s="494">
        <v>12974068.432999998</v>
      </c>
      <c r="D20" s="494">
        <v>0</v>
      </c>
      <c r="E20" s="495">
        <v>12974068.432999998</v>
      </c>
    </row>
    <row r="21" spans="1:7" ht="26.25" thickBot="1">
      <c r="A21" s="139"/>
      <c r="B21" s="229" t="s">
        <v>357</v>
      </c>
      <c r="C21" s="497">
        <f>SUM(C8:C12, C15:C20)</f>
        <v>1334089786.8529985</v>
      </c>
      <c r="D21" s="497">
        <f>SUM(D8:D12, D15:D20)</f>
        <v>22987679</v>
      </c>
      <c r="E21" s="498">
        <f>SUM(E8:E12, E15:E20)</f>
        <v>1311102107.8529985</v>
      </c>
    </row>
    <row r="22" spans="1:7">
      <c r="A22" s="5"/>
      <c r="B22" s="5"/>
      <c r="C22" s="5"/>
      <c r="D22" s="5"/>
      <c r="E22" s="5"/>
    </row>
    <row r="23" spans="1:7">
      <c r="A23" s="5"/>
      <c r="B23" s="5"/>
      <c r="C23" s="5"/>
      <c r="D23" s="5"/>
      <c r="E23" s="5"/>
    </row>
    <row r="25" spans="1:7" s="4" customFormat="1">
      <c r="B25" s="73"/>
      <c r="F25" s="5"/>
      <c r="G25" s="5"/>
    </row>
    <row r="26" spans="1:7" s="4" customFormat="1">
      <c r="B26" s="73"/>
      <c r="F26" s="5"/>
      <c r="G26" s="5"/>
    </row>
    <row r="27" spans="1:7" s="4" customFormat="1">
      <c r="B27" s="73"/>
      <c r="F27" s="5"/>
      <c r="G27" s="5"/>
    </row>
    <row r="28" spans="1:7" s="4" customFormat="1">
      <c r="B28" s="73"/>
      <c r="F28" s="5"/>
      <c r="G28" s="5"/>
    </row>
    <row r="29" spans="1:7" s="4" customFormat="1">
      <c r="B29" s="73"/>
      <c r="F29" s="5"/>
      <c r="G29" s="5"/>
    </row>
    <row r="30" spans="1:7" s="4" customFormat="1">
      <c r="B30" s="73"/>
      <c r="F30" s="5"/>
      <c r="G30" s="5"/>
    </row>
    <row r="31" spans="1:7" s="4" customFormat="1">
      <c r="B31" s="73"/>
      <c r="F31" s="5"/>
      <c r="G31" s="5"/>
    </row>
    <row r="32" spans="1:7" s="4" customFormat="1">
      <c r="B32" s="73"/>
      <c r="F32" s="5"/>
      <c r="G32" s="5"/>
    </row>
    <row r="33" spans="2:7" s="4" customFormat="1">
      <c r="B33" s="73"/>
      <c r="F33" s="5"/>
      <c r="G33" s="5"/>
    </row>
    <row r="34" spans="2:7" s="4" customFormat="1">
      <c r="B34" s="73"/>
      <c r="F34" s="5"/>
      <c r="G34" s="5"/>
    </row>
    <row r="35" spans="2:7" s="4" customFormat="1">
      <c r="B35" s="73"/>
      <c r="F35" s="5"/>
      <c r="G35" s="5"/>
    </row>
    <row r="36" spans="2:7" s="4" customFormat="1">
      <c r="B36" s="73"/>
      <c r="F36" s="5"/>
      <c r="G36" s="5"/>
    </row>
    <row r="37" spans="2:7" s="4" customFormat="1">
      <c r="B37" s="7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Terabank</v>
      </c>
    </row>
    <row r="2" spans="1:6" s="2" customFormat="1" ht="15.75" customHeight="1">
      <c r="A2" s="2" t="s">
        <v>31</v>
      </c>
      <c r="B2" s="340">
        <v>44377</v>
      </c>
      <c r="C2" s="4"/>
      <c r="D2" s="4"/>
      <c r="E2" s="4"/>
      <c r="F2" s="4"/>
    </row>
    <row r="3" spans="1:6" s="2" customFormat="1" ht="15.75" customHeight="1">
      <c r="C3" s="4"/>
      <c r="D3" s="4"/>
      <c r="E3" s="4"/>
      <c r="F3" s="4"/>
    </row>
    <row r="4" spans="1:6" s="2" customFormat="1" ht="13.5" thickBot="1">
      <c r="A4" s="2" t="s">
        <v>85</v>
      </c>
      <c r="B4" s="230" t="s">
        <v>334</v>
      </c>
      <c r="C4" s="67" t="s">
        <v>73</v>
      </c>
      <c r="D4" s="4"/>
      <c r="E4" s="4"/>
      <c r="F4" s="4"/>
    </row>
    <row r="5" spans="1:6" ht="15">
      <c r="A5" s="183">
        <v>1</v>
      </c>
      <c r="B5" s="231" t="s">
        <v>356</v>
      </c>
      <c r="C5" s="499">
        <v>1311102107.8529987</v>
      </c>
    </row>
    <row r="6" spans="1:6" ht="15">
      <c r="A6" s="74">
        <v>2.1</v>
      </c>
      <c r="B6" s="137" t="s">
        <v>335</v>
      </c>
      <c r="C6" s="500">
        <v>74423418.350000009</v>
      </c>
    </row>
    <row r="7" spans="1:6" s="55" customFormat="1" ht="15" outlineLevel="1">
      <c r="A7" s="49">
        <v>2.2000000000000002</v>
      </c>
      <c r="B7" s="50" t="s">
        <v>336</v>
      </c>
      <c r="C7" s="501">
        <v>67039380.530000001</v>
      </c>
    </row>
    <row r="8" spans="1:6" s="55" customFormat="1" ht="25.5">
      <c r="A8" s="49">
        <v>3</v>
      </c>
      <c r="B8" s="181" t="s">
        <v>337</v>
      </c>
      <c r="C8" s="502">
        <f>SUM(C5:C7)</f>
        <v>1452564906.7329986</v>
      </c>
    </row>
    <row r="9" spans="1:6" ht="15">
      <c r="A9" s="74">
        <v>4</v>
      </c>
      <c r="B9" s="75" t="s">
        <v>87</v>
      </c>
      <c r="C9" s="500">
        <v>14911553.009999946</v>
      </c>
    </row>
    <row r="10" spans="1:6" s="55" customFormat="1" ht="15" outlineLevel="1">
      <c r="A10" s="49">
        <v>5.0999999999999996</v>
      </c>
      <c r="B10" s="50" t="s">
        <v>338</v>
      </c>
      <c r="C10" s="501">
        <v>-35008896.658000067</v>
      </c>
    </row>
    <row r="11" spans="1:6" s="55" customFormat="1" ht="15" outlineLevel="1">
      <c r="A11" s="49">
        <v>5.2</v>
      </c>
      <c r="B11" s="50" t="s">
        <v>339</v>
      </c>
      <c r="C11" s="501">
        <v>-65698592.919399999</v>
      </c>
    </row>
    <row r="12" spans="1:6" s="55" customFormat="1" ht="15">
      <c r="A12" s="49">
        <v>6</v>
      </c>
      <c r="B12" s="180" t="s">
        <v>483</v>
      </c>
      <c r="C12" s="501">
        <v>1621297.71</v>
      </c>
    </row>
    <row r="13" spans="1:6" s="55" customFormat="1" ht="15.75" thickBot="1">
      <c r="A13" s="51">
        <v>7</v>
      </c>
      <c r="B13" s="182" t="s">
        <v>285</v>
      </c>
      <c r="C13" s="503">
        <f>SUM(C8:C12)</f>
        <v>1368390267.8755987</v>
      </c>
    </row>
    <row r="15" spans="1:6" ht="25.5">
      <c r="B15" s="55" t="s">
        <v>484</v>
      </c>
    </row>
    <row r="17" spans="1:2" ht="15">
      <c r="A17" s="192"/>
      <c r="B17" s="193"/>
    </row>
    <row r="18" spans="1:2" ht="15">
      <c r="A18" s="197"/>
      <c r="B18" s="198"/>
    </row>
    <row r="19" spans="1:2">
      <c r="A19" s="199"/>
      <c r="B19" s="194"/>
    </row>
    <row r="20" spans="1:2">
      <c r="A20" s="200"/>
      <c r="B20" s="195"/>
    </row>
    <row r="21" spans="1:2">
      <c r="A21" s="200"/>
      <c r="B21" s="198"/>
    </row>
    <row r="22" spans="1:2">
      <c r="A22" s="199"/>
      <c r="B22" s="196"/>
    </row>
    <row r="23" spans="1:2">
      <c r="A23" s="200"/>
      <c r="B23" s="195"/>
    </row>
    <row r="24" spans="1:2">
      <c r="A24" s="200"/>
      <c r="B24" s="195"/>
    </row>
    <row r="25" spans="1:2">
      <c r="A25" s="200"/>
      <c r="B25" s="201"/>
    </row>
    <row r="26" spans="1:2">
      <c r="A26" s="200"/>
      <c r="B26" s="198"/>
    </row>
    <row r="27" spans="1:2">
      <c r="B27" s="73"/>
    </row>
    <row r="28" spans="1:2">
      <c r="B28" s="73"/>
    </row>
    <row r="29" spans="1:2">
      <c r="B29" s="73"/>
    </row>
    <row r="30" spans="1:2">
      <c r="B30" s="73"/>
    </row>
    <row r="31" spans="1:2">
      <c r="B31" s="73"/>
    </row>
    <row r="32" spans="1:2">
      <c r="B32" s="73"/>
    </row>
    <row r="33" spans="2:2">
      <c r="B33" s="7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MPI3+KTACyVNvSScCgTXWlv68YSGyqJbXgsMPuGmpnY=</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9WGKYkQ1KKLmCCPNjvNhKxmVkOav+M2Zxj+7ln5G2J4=</DigestValue>
    </Reference>
  </SignedInfo>
  <SignatureValue>CAWGuhmAusVtwNQIcWllKDak64FxHQnpIYlyDhOGy0gWrgFRLdMMoBgwS7hx8bIBHGS6XwVovizS
YJPlVX3IOkjwwHFza5KLTac1KftywGTXDsFvjHvVZux/zpdfuEVhc5QZ5IVgs9Pmd/gByXtIMZiD
Om7VnLf5YhYUkizZnNJ98PNVxta/6DXE434o77zWdy/PAuTi9foaREkXsb+b7Jl8QsgTQSLoDpaF
j3ZJzoS2y3VwR4avVhYkIwqOrf0u3PkAI/0SPXU3GFWPZ3Je/MFg7vRY1Ks9JlAjGKAp4bCaQHTi
2QU4ISCMEJuJ+FRh+x66Y8i11yUdI7tchrsi7w==</SignatureValue>
  <KeyInfo>
    <X509Data>
      <X509Certificate>MIIGNzCCBR+gAwIBAgIKI4zLJQADAAHzYDANBgkqhkiG9w0BAQsFADBKMRIwEAYKCZImiZPyLGQBGRYCZ2UxEzARBgoJkiaJk/IsZAEZFgNuYmcxHzAdBgNVBAMTFk5CRyBDbGFzcyAyIElOVCBTdWIgQ0EwHhcNMjExMDI5MDcxMzQ0WhcNMjMxMDI5MDcxMzQ0WjA1MRUwEwYDVQQKEwxKU0MgVGVyYWJhbmsxHDAaBgNVBAMTE0JLUyAtIFNvcGhpZSBKdWdlbGkwggEiMA0GCSqGSIb3DQEBAQUAA4IBDwAwggEKAoIBAQDmj/Qilh4OuJQ2/agO7b7nS2sO/oUEXTcSkyRKPc6f8rXm9HGhungB/i94xLNgQ0QxKH7quXyGDGzVvUKA2yUtMsKOnE63FUkPgxUe6Q4eeSl85E3KYj7n7lqqEXSnHap7D6/2+aFU8yhHj3cDSa+uIHh4wcOpI4VRt/bmASG/x5yoeV9tWE5PZFVccjLOUgqCcH0qaa2EI+gcL5zUbsKIcs6Npai1xDw7lUJfiEU1xlyHrCSNDtzn5XyEB+7Gupa7m867V2ZWG1+0LbtKTxALu2DEfblk5b+D7g5gRvGzNcwVTuymjscrmReLfaYwTqd3Ztue0wWWk+l782Bh35GHAgMBAAGjggMyMIIDLjA8BgkrBgEEAYI3FQcELzAtBiUrBgEEAYI3FQjmsmCDjfVEhoGZCYO4oUqDvoRxBIPEkTOEg4hdAgFkAgEjMB0GA1UdJQQWMBQGCCsGAQUFBwMCBggrBgEFBQcDBDALBgNVHQ8EBAMCB4AwJwYJKwYBBAGCNxUKBBowGDAKBggrBgEFBQcDAjAKBggrBgEFBQcDBDAdBgNVHQ4EFgQUH9t5t2j+BI0Sn11Iktm9C6hpGv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z14mReC8jTNxelgoQIultuiItcN7m1DwnqDeC1+8yfL38pdeZEp124FzKQ7pQkLXoY91a4efeLM3R9t5yzcqR8xJwu1X2zoSGgXFtOoqMfoOPmcsSq3lDslL93lTcQoahBinojHpSBAY7PCex3kUxBFDGXIHyca0N66gyUWtRCPf/N2Br/ZD5vByY/0gqB8sBEQdhepMfRiVKZ6lFrPpthyV4dOZ5VtWerUCm/C0C+Qvt17m/zARSfTm/a2WW84Wp2QyQzBfJa4b/rTmIWSEeUgyFI+2nNZ9O54dlAYDppLdB+e7JFD48U+1KO+ZWBxqUCs9bif9dyWzUvQzMOUx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GBFxc2CenZJTEbRUGj7uMoB/wK0Zve61xKZby5lISeM=</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vbcFxtRzim15Bb571RGcVrjpItn22tTHfZPPnfEZjj4=</DigestValue>
      </Reference>
      <Reference URI="/xl/styles.xml?ContentType=application/vnd.openxmlformats-officedocument.spreadsheetml.styles+xml">
        <DigestMethod Algorithm="http://www.w3.org/2001/04/xmlenc#sha256"/>
        <DigestValue>k5m4hh+kjyklOWFNndjCEE2DcaWhfOBHA/Tk1AB633c=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RLu7t3FTwMF2rfD/nDtkLyE6/PyjS22/gAQGnchnlsg=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nAVVlYHiZdB0bsel3pbpPHth76pC/o937ubU2Ipr5dQ=</DigestValue>
      </Reference>
      <Reference URI="/xl/worksheets/sheet10.xml?ContentType=application/vnd.openxmlformats-officedocument.spreadsheetml.worksheet+xml">
        <DigestMethod Algorithm="http://www.w3.org/2001/04/xmlenc#sha256"/>
        <DigestValue>E1DOPVqo7B90kDk2oAhslzZJjtOFzvjnGGZvVS4lPLM=</DigestValue>
      </Reference>
      <Reference URI="/xl/worksheets/sheet11.xml?ContentType=application/vnd.openxmlformats-officedocument.spreadsheetml.worksheet+xml">
        <DigestMethod Algorithm="http://www.w3.org/2001/04/xmlenc#sha256"/>
        <DigestValue>+3j3/SSB+vb8XzEGukv05oCuNo1p91ryecXkfZZQew4=</DigestValue>
      </Reference>
      <Reference URI="/xl/worksheets/sheet12.xml?ContentType=application/vnd.openxmlformats-officedocument.spreadsheetml.worksheet+xml">
        <DigestMethod Algorithm="http://www.w3.org/2001/04/xmlenc#sha256"/>
        <DigestValue>DJFK6OH/SlwdaGBLX/Nl31fKGNNsiqi+/KjI5zoGwus=</DigestValue>
      </Reference>
      <Reference URI="/xl/worksheets/sheet13.xml?ContentType=application/vnd.openxmlformats-officedocument.spreadsheetml.worksheet+xml">
        <DigestMethod Algorithm="http://www.w3.org/2001/04/xmlenc#sha256"/>
        <DigestValue>2EdxeOZ8vJsXg/Gwfm7yBezKjA23U/mrc4IyYLI340M=</DigestValue>
      </Reference>
      <Reference URI="/xl/worksheets/sheet14.xml?ContentType=application/vnd.openxmlformats-officedocument.spreadsheetml.worksheet+xml">
        <DigestMethod Algorithm="http://www.w3.org/2001/04/xmlenc#sha256"/>
        <DigestValue>zfhPr+Ja1+4EZvHXgWaEe9+vgvL8cPY6zMQUwpd5UCo=</DigestValue>
      </Reference>
      <Reference URI="/xl/worksheets/sheet15.xml?ContentType=application/vnd.openxmlformats-officedocument.spreadsheetml.worksheet+xml">
        <DigestMethod Algorithm="http://www.w3.org/2001/04/xmlenc#sha256"/>
        <DigestValue>1xZzHPrkIQk21HNqTSl5nXybhw1mP7u74/sD1YjLacs=</DigestValue>
      </Reference>
      <Reference URI="/xl/worksheets/sheet16.xml?ContentType=application/vnd.openxmlformats-officedocument.spreadsheetml.worksheet+xml">
        <DigestMethod Algorithm="http://www.w3.org/2001/04/xmlenc#sha256"/>
        <DigestValue>DakV1wS3Vgy2Xr1UfNniuT8hgB2p5pDqr0kWnikl2nE=</DigestValue>
      </Reference>
      <Reference URI="/xl/worksheets/sheet17.xml?ContentType=application/vnd.openxmlformats-officedocument.spreadsheetml.worksheet+xml">
        <DigestMethod Algorithm="http://www.w3.org/2001/04/xmlenc#sha256"/>
        <DigestValue>rG+z0TSaH0RXEkj3W54u5nvgcMNVyVz/feNuaxg2LSE=</DigestValue>
      </Reference>
      <Reference URI="/xl/worksheets/sheet18.xml?ContentType=application/vnd.openxmlformats-officedocument.spreadsheetml.worksheet+xml">
        <DigestMethod Algorithm="http://www.w3.org/2001/04/xmlenc#sha256"/>
        <DigestValue>KEVNA/EnLHGVtA7C1nFGYdCX1fBPuGoQNyTcq+s7hcM=</DigestValue>
      </Reference>
      <Reference URI="/xl/worksheets/sheet19.xml?ContentType=application/vnd.openxmlformats-officedocument.spreadsheetml.worksheet+xml">
        <DigestMethod Algorithm="http://www.w3.org/2001/04/xmlenc#sha256"/>
        <DigestValue>uURbuUgfgZI6ZCE7Ad2maVn6Mf4geajbh8MNV/VUa3k=</DigestValue>
      </Reference>
      <Reference URI="/xl/worksheets/sheet2.xml?ContentType=application/vnd.openxmlformats-officedocument.spreadsheetml.worksheet+xml">
        <DigestMethod Algorithm="http://www.w3.org/2001/04/xmlenc#sha256"/>
        <DigestValue>m4ECNSjdFdOKLyGZGqZevAUDkUAjcus206/KmLjXS18=</DigestValue>
      </Reference>
      <Reference URI="/xl/worksheets/sheet20.xml?ContentType=application/vnd.openxmlformats-officedocument.spreadsheetml.worksheet+xml">
        <DigestMethod Algorithm="http://www.w3.org/2001/04/xmlenc#sha256"/>
        <DigestValue>jOC8UU60tnMmu325Fx84a7sjPsdC7HMpIof9AFBBqyc=</DigestValue>
      </Reference>
      <Reference URI="/xl/worksheets/sheet21.xml?ContentType=application/vnd.openxmlformats-officedocument.spreadsheetml.worksheet+xml">
        <DigestMethod Algorithm="http://www.w3.org/2001/04/xmlenc#sha256"/>
        <DigestValue>LCAOGziz6ovQWLFVNepN9Bt3/9Fj7AW2MVefpa5RNT4=</DigestValue>
      </Reference>
      <Reference URI="/xl/worksheets/sheet22.xml?ContentType=application/vnd.openxmlformats-officedocument.spreadsheetml.worksheet+xml">
        <DigestMethod Algorithm="http://www.w3.org/2001/04/xmlenc#sha256"/>
        <DigestValue>mnnHi8Rfcu2TrwW/u5EkMpXeRA9DEhE8+67amgQXnHc=</DigestValue>
      </Reference>
      <Reference URI="/xl/worksheets/sheet23.xml?ContentType=application/vnd.openxmlformats-officedocument.spreadsheetml.worksheet+xml">
        <DigestMethod Algorithm="http://www.w3.org/2001/04/xmlenc#sha256"/>
        <DigestValue>sIKb7SkVM4Yxz/WZ9C+09ttP6BU0EMuhgZ/OUXjLFVM=</DigestValue>
      </Reference>
      <Reference URI="/xl/worksheets/sheet24.xml?ContentType=application/vnd.openxmlformats-officedocument.spreadsheetml.worksheet+xml">
        <DigestMethod Algorithm="http://www.w3.org/2001/04/xmlenc#sha256"/>
        <DigestValue>fr20vGJpxr/tI+jNCff5oSlFqgGjJPBa+hLJM4MLYaE=</DigestValue>
      </Reference>
      <Reference URI="/xl/worksheets/sheet25.xml?ContentType=application/vnd.openxmlformats-officedocument.spreadsheetml.worksheet+xml">
        <DigestMethod Algorithm="http://www.w3.org/2001/04/xmlenc#sha256"/>
        <DigestValue>p1eBXUUoDMeO3Am9n1i11gL37t9VhPe88KxdNwXeC+c=</DigestValue>
      </Reference>
      <Reference URI="/xl/worksheets/sheet26.xml?ContentType=application/vnd.openxmlformats-officedocument.spreadsheetml.worksheet+xml">
        <DigestMethod Algorithm="http://www.w3.org/2001/04/xmlenc#sha256"/>
        <DigestValue>1lD1QWqcnqPazrQ9aIvSLll7FCqPonB1253DZ9Qjixw=</DigestValue>
      </Reference>
      <Reference URI="/xl/worksheets/sheet27.xml?ContentType=application/vnd.openxmlformats-officedocument.spreadsheetml.worksheet+xml">
        <DigestMethod Algorithm="http://www.w3.org/2001/04/xmlenc#sha256"/>
        <DigestValue>L+5sCiRzseW8kz2LpCcdqiz6uTEMtz9EWWlkyXNP38g=</DigestValue>
      </Reference>
      <Reference URI="/xl/worksheets/sheet28.xml?ContentType=application/vnd.openxmlformats-officedocument.spreadsheetml.worksheet+xml">
        <DigestMethod Algorithm="http://www.w3.org/2001/04/xmlenc#sha256"/>
        <DigestValue>QwM9kHBMjoCDMsolcU3cal0qZZ3RJFf1Iv/1XpmNYv0=</DigestValue>
      </Reference>
      <Reference URI="/xl/worksheets/sheet3.xml?ContentType=application/vnd.openxmlformats-officedocument.spreadsheetml.worksheet+xml">
        <DigestMethod Algorithm="http://www.w3.org/2001/04/xmlenc#sha256"/>
        <DigestValue>EYKakHrvH5A4+dPllYH+6tK9n3OOTJdlbI46/uzx+GQ=</DigestValue>
      </Reference>
      <Reference URI="/xl/worksheets/sheet4.xml?ContentType=application/vnd.openxmlformats-officedocument.spreadsheetml.worksheet+xml">
        <DigestMethod Algorithm="http://www.w3.org/2001/04/xmlenc#sha256"/>
        <DigestValue>EbqDWBS7ERXTSJI8LfSKrVINGuwRPPWc514EAPHoAkM=</DigestValue>
      </Reference>
      <Reference URI="/xl/worksheets/sheet5.xml?ContentType=application/vnd.openxmlformats-officedocument.spreadsheetml.worksheet+xml">
        <DigestMethod Algorithm="http://www.w3.org/2001/04/xmlenc#sha256"/>
        <DigestValue>xMZmEeTShJsQFixdvl8DjvsOqXt5eIo9evQCiIwRA3o=</DigestValue>
      </Reference>
      <Reference URI="/xl/worksheets/sheet6.xml?ContentType=application/vnd.openxmlformats-officedocument.spreadsheetml.worksheet+xml">
        <DigestMethod Algorithm="http://www.w3.org/2001/04/xmlenc#sha256"/>
        <DigestValue>DU1xhnfSzr2RlRDiy7LSbd37XPDFJe6PNzxbwP3dwE0=</DigestValue>
      </Reference>
      <Reference URI="/xl/worksheets/sheet7.xml?ContentType=application/vnd.openxmlformats-officedocument.spreadsheetml.worksheet+xml">
        <DigestMethod Algorithm="http://www.w3.org/2001/04/xmlenc#sha256"/>
        <DigestValue>cp8XH4+O7Uut9QyMxsIZU5bbiX95cKmscldMwHRf6sg=</DigestValue>
      </Reference>
      <Reference URI="/xl/worksheets/sheet8.xml?ContentType=application/vnd.openxmlformats-officedocument.spreadsheetml.worksheet+xml">
        <DigestMethod Algorithm="http://www.w3.org/2001/04/xmlenc#sha256"/>
        <DigestValue>c6RqLggXb6ATYn6NrSIz4u3NdsZNtcX3oJTWKUPwv0A=</DigestValue>
      </Reference>
      <Reference URI="/xl/worksheets/sheet9.xml?ContentType=application/vnd.openxmlformats-officedocument.spreadsheetml.worksheet+xml">
        <DigestMethod Algorithm="http://www.w3.org/2001/04/xmlenc#sha256"/>
        <DigestValue>VtHHaXGT8Oy+GD4wpES38nf4Pn40JiBfeHf/a86Obh0=</DigestValue>
      </Reference>
    </Manifest>
    <SignatureProperties>
      <SignatureProperty Id="idSignatureTime" Target="#idPackageSignature">
        <mdssi:SignatureTime xmlns:mdssi="http://schemas.openxmlformats.org/package/2006/digital-signature">
          <mdssi:Format>YYYY-MM-DDThh:mm:ssTZD</mdssi:Format>
          <mdssi:Value>2023-03-02T10:01:03Z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2023-03-02T10:01:03Z</xd:SigningTime>
          <xd:SigningCertificate>
            <xd:Cert>
              <xd:CertDigest>
                <DigestMethod Algorithm="http://www.w3.org/2001/04/xmlenc#sha256"/>
                <DigestValue>83RKjVrOk8NbI+Ftoh6cXqc1Zl+x8Qa15tRhF072K8I=</DigestValue>
              </xd:CertDigest>
              <xd:IssuerSerial>
                <X509IssuerName>CN=NBG Class 2 INT Sub CA, DC=nbg, DC=ge</X509IssuerName>
                <X509SerialNumber>167880009176933642400608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LtURLUgtoz9/CIhejMxCLXjQUEVxp6kW7U8op3IaH10=</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FcO1BB7/YmX+1QOU9kulC1lDoUW7Wjv9ptQY5PClVkw=</DigestValue>
    </Reference>
  </SignedInfo>
  <SignatureValue>fNpAbGJmariTiICeke/DfFzadwhfeePvPztB4kaSKxsIbgnRw88nhnKH6o+hLsC5A7h2k9WMZfql
xOdpxjqeOs8y1aU2kR3mKgaiLO/77n8NW+epJyLqHJYQ29hrv9ibOZnOTJtBSQ59pQsZFHwtz5K1
zQWO6ariqYA4eHlf5nVaUXkoBxTq4rt3YB5H8m9pK2nKTq9RpZdp5Uq4+cURRkF9DqnwF46VRBEe
3ZOZ10vFfg/QbBXFETRV7aTEjMf5KKZPeWb01pPHrGs5tZ4Sq86cce+jF2r9qZXDg7GBcfx6cNLx
NlRKxfBH4chFY7+awjn5Z6npLT0aFXSjxRbFEw==</SignatureValue>
  <KeyInfo>
    <X509Data>
      <X509Certificate>MIIGOzCCBSOgAwIBAgIKI5XzjAADAAHzYTANBgkqhkiG9w0BAQsFADBKMRIwEAYKCZImiZPyLGQBGRYCZ2UxEzARBgoJkiaJk/IsZAEZFgNuYmcxHzAdBgNVBAMTFk5CRyBDbGFzcyAyIElOVCBTdWIgQ0EwHhcNMjExMDI5MDcyMzQ0WhcNMjMxMDI5MDcyMzQ0WjA5MRUwEwYDVQQKEwxKU0MgVEVSQUJBTksxIDAeBgNVBAMTF0JLUyAtIEFuYSBTaGFyYXNoZW5pZHplMIIBIjANBgkqhkiG9w0BAQEFAAOCAQ8AMIIBCgKCAQEA61co4iFyPv9K9F47eh7qX/+bcuwfudeg5dncGFmp7MtY6X2MA1c0a02sqUo2y4EFl9CwuniEFUTdKCUPYQYwYtN+y5Y9HaXADTe7CUAml4VaItXPkea58+h8DEaUCWJhjy8aKIzC8pPYPLjUJiC9/XAXwoT6tqNPKcfQJNdOdsuzkXqeZqVpKMAuZogapiNxRT89PYqPAUINSS+M40I5bOjoP0q7LuoWj3lBpb4x2wtBMgMh6TXplrU8i1I9EM0VTBWPtSr2q78j0QO5LR7B2JhfCVaB8WTtRvvCtSmMbx7vMvESOwjdicVZe1J4VCeUpnmOksc6qnzJ2obQlhfl3wIDAQABo4IDMjCCAy4wPAYJKwYBBAGCNxUHBC8wLQYlKwYBBAGCNxUI5rJgg431RIaBmQmDuKFKg76EcQSDxJEzhIOIXQIBZAIBIzAdBgNVHSUEFjAUBggrBgEFBQcDAgYIKwYBBQUHAwQwCwYDVR0PBAQDAgeAMCcGCSsGAQQBgjcVCgQaMBgwCgYIKwYBBQUHAwIwCgYIKwYBBQUHAwQwHQYDVR0OBBYEFDdq6fIfzsaEjQX7yL2FvwEFeTUM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R+N3qfgi6y8i54Bal70rBx/MSX3RSbAyt8Up0o80qaTrk6oLUTNAWkTBopIO0mj5HwVj0yJiLFkxShP/IxFiHB8b5deT1JMjRUDAlNZxNAvwQbPq0QvX/tewmoRYoCA5wcpM59utkFdvPHbziEaI2JIo/pY1YvQ1TbECqeBEL7pdvZz4bR0AdPqX3sbDut5+h7X1PIf8eSNcVnDL8XDBcnKxJVWaY4eKi4zDEM3GcPeXWVXWX4GbhfONH+4pRuT/B7BttNVY5pWywfeLYlXvKvHk8bge6RqCXKSEZf6+lwzw7dNjYeowN7zqKbvfvcNa7/NU8SDXHwGSAHSxeO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GBFxc2CenZJTEbRUGj7uMoB/wK0Zve61xKZby5lISeM=</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vbcFxtRzim15Bb571RGcVrjpItn22tTHfZPPnfEZjj4=</DigestValue>
      </Reference>
      <Reference URI="/xl/styles.xml?ContentType=application/vnd.openxmlformats-officedocument.spreadsheetml.styles+xml">
        <DigestMethod Algorithm="http://www.w3.org/2001/04/xmlenc#sha256"/>
        <DigestValue>k5m4hh+kjyklOWFNndjCEE2DcaWhfOBHA/Tk1AB633c=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RLu7t3FTwMF2rfD/nDtkLyE6/PyjS22/gAQGnchnlsg=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nAVVlYHiZdB0bsel3pbpPHth76pC/o937ubU2Ipr5dQ=</DigestValue>
      </Reference>
      <Reference URI="/xl/worksheets/sheet10.xml?ContentType=application/vnd.openxmlformats-officedocument.spreadsheetml.worksheet+xml">
        <DigestMethod Algorithm="http://www.w3.org/2001/04/xmlenc#sha256"/>
        <DigestValue>E1DOPVqo7B90kDk2oAhslzZJjtOFzvjnGGZvVS4lPLM=</DigestValue>
      </Reference>
      <Reference URI="/xl/worksheets/sheet11.xml?ContentType=application/vnd.openxmlformats-officedocument.spreadsheetml.worksheet+xml">
        <DigestMethod Algorithm="http://www.w3.org/2001/04/xmlenc#sha256"/>
        <DigestValue>+3j3/SSB+vb8XzEGukv05oCuNo1p91ryecXkfZZQew4=</DigestValue>
      </Reference>
      <Reference URI="/xl/worksheets/sheet12.xml?ContentType=application/vnd.openxmlformats-officedocument.spreadsheetml.worksheet+xml">
        <DigestMethod Algorithm="http://www.w3.org/2001/04/xmlenc#sha256"/>
        <DigestValue>DJFK6OH/SlwdaGBLX/Nl31fKGNNsiqi+/KjI5zoGwus=</DigestValue>
      </Reference>
      <Reference URI="/xl/worksheets/sheet13.xml?ContentType=application/vnd.openxmlformats-officedocument.spreadsheetml.worksheet+xml">
        <DigestMethod Algorithm="http://www.w3.org/2001/04/xmlenc#sha256"/>
        <DigestValue>2EdxeOZ8vJsXg/Gwfm7yBezKjA23U/mrc4IyYLI340M=</DigestValue>
      </Reference>
      <Reference URI="/xl/worksheets/sheet14.xml?ContentType=application/vnd.openxmlformats-officedocument.spreadsheetml.worksheet+xml">
        <DigestMethod Algorithm="http://www.w3.org/2001/04/xmlenc#sha256"/>
        <DigestValue>zfhPr+Ja1+4EZvHXgWaEe9+vgvL8cPY6zMQUwpd5UCo=</DigestValue>
      </Reference>
      <Reference URI="/xl/worksheets/sheet15.xml?ContentType=application/vnd.openxmlformats-officedocument.spreadsheetml.worksheet+xml">
        <DigestMethod Algorithm="http://www.w3.org/2001/04/xmlenc#sha256"/>
        <DigestValue>1xZzHPrkIQk21HNqTSl5nXybhw1mP7u74/sD1YjLacs=</DigestValue>
      </Reference>
      <Reference URI="/xl/worksheets/sheet16.xml?ContentType=application/vnd.openxmlformats-officedocument.spreadsheetml.worksheet+xml">
        <DigestMethod Algorithm="http://www.w3.org/2001/04/xmlenc#sha256"/>
        <DigestValue>DakV1wS3Vgy2Xr1UfNniuT8hgB2p5pDqr0kWnikl2nE=</DigestValue>
      </Reference>
      <Reference URI="/xl/worksheets/sheet17.xml?ContentType=application/vnd.openxmlformats-officedocument.spreadsheetml.worksheet+xml">
        <DigestMethod Algorithm="http://www.w3.org/2001/04/xmlenc#sha256"/>
        <DigestValue>rG+z0TSaH0RXEkj3W54u5nvgcMNVyVz/feNuaxg2LSE=</DigestValue>
      </Reference>
      <Reference URI="/xl/worksheets/sheet18.xml?ContentType=application/vnd.openxmlformats-officedocument.spreadsheetml.worksheet+xml">
        <DigestMethod Algorithm="http://www.w3.org/2001/04/xmlenc#sha256"/>
        <DigestValue>KEVNA/EnLHGVtA7C1nFGYdCX1fBPuGoQNyTcq+s7hcM=</DigestValue>
      </Reference>
      <Reference URI="/xl/worksheets/sheet19.xml?ContentType=application/vnd.openxmlformats-officedocument.spreadsheetml.worksheet+xml">
        <DigestMethod Algorithm="http://www.w3.org/2001/04/xmlenc#sha256"/>
        <DigestValue>uURbuUgfgZI6ZCE7Ad2maVn6Mf4geajbh8MNV/VUa3k=</DigestValue>
      </Reference>
      <Reference URI="/xl/worksheets/sheet2.xml?ContentType=application/vnd.openxmlformats-officedocument.spreadsheetml.worksheet+xml">
        <DigestMethod Algorithm="http://www.w3.org/2001/04/xmlenc#sha256"/>
        <DigestValue>m4ECNSjdFdOKLyGZGqZevAUDkUAjcus206/KmLjXS18=</DigestValue>
      </Reference>
      <Reference URI="/xl/worksheets/sheet20.xml?ContentType=application/vnd.openxmlformats-officedocument.spreadsheetml.worksheet+xml">
        <DigestMethod Algorithm="http://www.w3.org/2001/04/xmlenc#sha256"/>
        <DigestValue>jOC8UU60tnMmu325Fx84a7sjPsdC7HMpIof9AFBBqyc=</DigestValue>
      </Reference>
      <Reference URI="/xl/worksheets/sheet21.xml?ContentType=application/vnd.openxmlformats-officedocument.spreadsheetml.worksheet+xml">
        <DigestMethod Algorithm="http://www.w3.org/2001/04/xmlenc#sha256"/>
        <DigestValue>LCAOGziz6ovQWLFVNepN9Bt3/9Fj7AW2MVefpa5RNT4=</DigestValue>
      </Reference>
      <Reference URI="/xl/worksheets/sheet22.xml?ContentType=application/vnd.openxmlformats-officedocument.spreadsheetml.worksheet+xml">
        <DigestMethod Algorithm="http://www.w3.org/2001/04/xmlenc#sha256"/>
        <DigestValue>mnnHi8Rfcu2TrwW/u5EkMpXeRA9DEhE8+67amgQXnHc=</DigestValue>
      </Reference>
      <Reference URI="/xl/worksheets/sheet23.xml?ContentType=application/vnd.openxmlformats-officedocument.spreadsheetml.worksheet+xml">
        <DigestMethod Algorithm="http://www.w3.org/2001/04/xmlenc#sha256"/>
        <DigestValue>sIKb7SkVM4Yxz/WZ9C+09ttP6BU0EMuhgZ/OUXjLFVM=</DigestValue>
      </Reference>
      <Reference URI="/xl/worksheets/sheet24.xml?ContentType=application/vnd.openxmlformats-officedocument.spreadsheetml.worksheet+xml">
        <DigestMethod Algorithm="http://www.w3.org/2001/04/xmlenc#sha256"/>
        <DigestValue>fr20vGJpxr/tI+jNCff5oSlFqgGjJPBa+hLJM4MLYaE=</DigestValue>
      </Reference>
      <Reference URI="/xl/worksheets/sheet25.xml?ContentType=application/vnd.openxmlformats-officedocument.spreadsheetml.worksheet+xml">
        <DigestMethod Algorithm="http://www.w3.org/2001/04/xmlenc#sha256"/>
        <DigestValue>p1eBXUUoDMeO3Am9n1i11gL37t9VhPe88KxdNwXeC+c=</DigestValue>
      </Reference>
      <Reference URI="/xl/worksheets/sheet26.xml?ContentType=application/vnd.openxmlformats-officedocument.spreadsheetml.worksheet+xml">
        <DigestMethod Algorithm="http://www.w3.org/2001/04/xmlenc#sha256"/>
        <DigestValue>1lD1QWqcnqPazrQ9aIvSLll7FCqPonB1253DZ9Qjixw=</DigestValue>
      </Reference>
      <Reference URI="/xl/worksheets/sheet27.xml?ContentType=application/vnd.openxmlformats-officedocument.spreadsheetml.worksheet+xml">
        <DigestMethod Algorithm="http://www.w3.org/2001/04/xmlenc#sha256"/>
        <DigestValue>L+5sCiRzseW8kz2LpCcdqiz6uTEMtz9EWWlkyXNP38g=</DigestValue>
      </Reference>
      <Reference URI="/xl/worksheets/sheet28.xml?ContentType=application/vnd.openxmlformats-officedocument.spreadsheetml.worksheet+xml">
        <DigestMethod Algorithm="http://www.w3.org/2001/04/xmlenc#sha256"/>
        <DigestValue>QwM9kHBMjoCDMsolcU3cal0qZZ3RJFf1Iv/1XpmNYv0=</DigestValue>
      </Reference>
      <Reference URI="/xl/worksheets/sheet3.xml?ContentType=application/vnd.openxmlformats-officedocument.spreadsheetml.worksheet+xml">
        <DigestMethod Algorithm="http://www.w3.org/2001/04/xmlenc#sha256"/>
        <DigestValue>EYKakHrvH5A4+dPllYH+6tK9n3OOTJdlbI46/uzx+GQ=</DigestValue>
      </Reference>
      <Reference URI="/xl/worksheets/sheet4.xml?ContentType=application/vnd.openxmlformats-officedocument.spreadsheetml.worksheet+xml">
        <DigestMethod Algorithm="http://www.w3.org/2001/04/xmlenc#sha256"/>
        <DigestValue>EbqDWBS7ERXTSJI8LfSKrVINGuwRPPWc514EAPHoAkM=</DigestValue>
      </Reference>
      <Reference URI="/xl/worksheets/sheet5.xml?ContentType=application/vnd.openxmlformats-officedocument.spreadsheetml.worksheet+xml">
        <DigestMethod Algorithm="http://www.w3.org/2001/04/xmlenc#sha256"/>
        <DigestValue>xMZmEeTShJsQFixdvl8DjvsOqXt5eIo9evQCiIwRA3o=</DigestValue>
      </Reference>
      <Reference URI="/xl/worksheets/sheet6.xml?ContentType=application/vnd.openxmlformats-officedocument.spreadsheetml.worksheet+xml">
        <DigestMethod Algorithm="http://www.w3.org/2001/04/xmlenc#sha256"/>
        <DigestValue>DU1xhnfSzr2RlRDiy7LSbd37XPDFJe6PNzxbwP3dwE0=</DigestValue>
      </Reference>
      <Reference URI="/xl/worksheets/sheet7.xml?ContentType=application/vnd.openxmlformats-officedocument.spreadsheetml.worksheet+xml">
        <DigestMethod Algorithm="http://www.w3.org/2001/04/xmlenc#sha256"/>
        <DigestValue>cp8XH4+O7Uut9QyMxsIZU5bbiX95cKmscldMwHRf6sg=</DigestValue>
      </Reference>
      <Reference URI="/xl/worksheets/sheet8.xml?ContentType=application/vnd.openxmlformats-officedocument.spreadsheetml.worksheet+xml">
        <DigestMethod Algorithm="http://www.w3.org/2001/04/xmlenc#sha256"/>
        <DigestValue>c6RqLggXb6ATYn6NrSIz4u3NdsZNtcX3oJTWKUPwv0A=</DigestValue>
      </Reference>
      <Reference URI="/xl/worksheets/sheet9.xml?ContentType=application/vnd.openxmlformats-officedocument.spreadsheetml.worksheet+xml">
        <DigestMethod Algorithm="http://www.w3.org/2001/04/xmlenc#sha256"/>
        <DigestValue>VtHHaXGT8Oy+GD4wpES38nf4Pn40JiBfeHf/a86Obh0=</DigestValue>
      </Reference>
    </Manifest>
    <SignatureProperties>
      <SignatureProperty Id="idSignatureTime" Target="#idPackageSignature">
        <mdssi:SignatureTime xmlns:mdssi="http://schemas.openxmlformats.org/package/2006/digital-signature">
          <mdssi:Format>YYYY-MM-DDThh:mm:ssTZD</mdssi:Format>
          <mdssi:Value>2023-03-02T10:02:38Z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2023-03-02T10:02:38Z</xd:SigningTime>
          <xd:SigningCertificate>
            <xd:Cert>
              <xd:CertDigest>
                <DigestMethod Algorithm="http://www.w3.org/2001/04/xmlenc#sha256"/>
                <DigestValue>uuuQP/SYVM2teG/iSixlr+6to1ZSZcY2tllNL/DK81k=</DigestValue>
              </xd:CertDigest>
              <xd:IssuerSerial>
                <X509IssuerName>CN=NBG Class 2 INT Sub CA, DC=nbg, DC=ge</X509IssuerName>
                <X509SerialNumber>168048941169281146680161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2023-02-28T13:16:23Z</dcterms:modified>
</cp:coreProperties>
</file>